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80" windowWidth="14745" windowHeight="12105"/>
  </bookViews>
  <sheets>
    <sheet name="смета наша" sheetId="7" r:id="rId1"/>
    <sheet name="физика 2016" sheetId="18" state="hidden" r:id="rId2"/>
    <sheet name="операционные" sheetId="17" state="hidden" r:id="rId3"/>
    <sheet name="Физика на 2015 " sheetId="14" state="hidden" r:id="rId4"/>
    <sheet name="факт 2014 года" sheetId="15" state="hidden" r:id="rId5"/>
    <sheet name="Лист1" sheetId="1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KTV786">'[1]Справочник ФККО'!$A$2:$A$930</definedName>
    <definedName name="___KTV786">'[1]Справочник ФККО'!$A$2:$A$930</definedName>
    <definedName name="__KTV786">'[1]Справочник ФККО'!$A$2:$A$930</definedName>
    <definedName name="_Fill" localSheetId="2" hidden="1">#REF!</definedName>
    <definedName name="_Fill" localSheetId="4" hidden="1">#REF!</definedName>
    <definedName name="_Fill" hidden="1">#REF!</definedName>
    <definedName name="_KTV786">'[1]Справочник ФККО'!$A$2:$A$930</definedName>
    <definedName name="_pipe">[2]Закупки!$AB$1:$AB$65536</definedName>
    <definedName name="_price">[2]Закупки!$G$4:$G$6649</definedName>
    <definedName name="_priceSTZ">[2]Закупки!$K$1:$K$65536</definedName>
    <definedName name="_size">[2]Закупки!$D$4:$D$5801</definedName>
    <definedName name="_steel">[2]Закупки!$C$4:$C$5160</definedName>
    <definedName name="_ton">[2]Закупки!$F$4:$F$5076</definedName>
    <definedName name="_TY">[2]Закупки!$H$1:$H$65536</definedName>
    <definedName name="GalDBVar_Дата_составления_приказа1" localSheetId="2">#REF!</definedName>
    <definedName name="GalDBVar_Дата_составления_приказа1" localSheetId="4">#REF!</definedName>
    <definedName name="GalDBVar_Дата_составления_приказа1">#REF!</definedName>
    <definedName name="GalDBVar_Кол_строк" localSheetId="2">#REF!</definedName>
    <definedName name="GalDBVar_Кол_строк" localSheetId="4">#REF!</definedName>
    <definedName name="GalDBVar_Кол_строк">#REF!</definedName>
    <definedName name="GalDBVar_Название_износа" localSheetId="2">#REF!</definedName>
    <definedName name="GalDBVar_Название_износа" localSheetId="4">#REF!</definedName>
    <definedName name="GalDBVar_Название_износа">#REF!</definedName>
    <definedName name="GalDBVar_Отчет" localSheetId="2">#REF!</definedName>
    <definedName name="GalDBVar_Отчет" localSheetId="4">#REF!</definedName>
    <definedName name="GalDBVar_Отчет">#REF!</definedName>
    <definedName name="GalDBVar_Период_начисл_аморт" localSheetId="2">#REF!</definedName>
    <definedName name="GalDBVar_Период_начисл_аморт" localSheetId="4">#REF!</definedName>
    <definedName name="GalDBVar_Период_начисл_аморт">#REF!</definedName>
    <definedName name="GalDBVar_Столбец1_N" localSheetId="2">#REF!</definedName>
    <definedName name="GalDBVar_Столбец1_N" localSheetId="4">#REF!</definedName>
    <definedName name="GalDBVar_Столбец1_N">#REF!</definedName>
    <definedName name="GalDBVar_Столбец1_мет" localSheetId="2">#REF!</definedName>
    <definedName name="GalDBVar_Столбец1_мет" localSheetId="4">#REF!</definedName>
    <definedName name="GalDBVar_Столбец1_мет">#REF!</definedName>
    <definedName name="GalDBVar_Столбец2_мет" localSheetId="2">#REF!</definedName>
    <definedName name="GalDBVar_Столбец2_мет" localSheetId="4">#REF!</definedName>
    <definedName name="GalDBVar_Столбец2_мет">#REF!</definedName>
    <definedName name="GalDBVar_Столбец3_мет" localSheetId="2">#REF!</definedName>
    <definedName name="GalDBVar_Столбец3_мет" localSheetId="4">#REF!</definedName>
    <definedName name="GalDBVar_Столбец3_мет">#REF!</definedName>
    <definedName name="GalDBVar_Столбец4_мет" localSheetId="2">#REF!</definedName>
    <definedName name="GalDBVar_Столбец4_мет" localSheetId="4">#REF!</definedName>
    <definedName name="GalDBVar_Столбец4_мет">#REF!</definedName>
    <definedName name="GalDBVar_Структ_подразд" localSheetId="2">#REF!</definedName>
    <definedName name="GalDBVar_Структ_подразд" localSheetId="4">#REF!</definedName>
    <definedName name="GalDBVar_Структ_подразд">#REF!</definedName>
    <definedName name="GalDBVar_Формат" localSheetId="2">#REF!</definedName>
    <definedName name="GalDBVar_Формат" localSheetId="4">#REF!</definedName>
    <definedName name="GalDBVar_Формат">#REF!</definedName>
    <definedName name="GalRepTblFld_s_exattr1" localSheetId="2">#REF!</definedName>
    <definedName name="GalRepTblFld_s_exattr1" localSheetId="4">#REF!</definedName>
    <definedName name="GalRepTblFld_s_exattr1">#REF!</definedName>
    <definedName name="GalRepTblFld_s_exattr2" localSheetId="2">#REF!</definedName>
    <definedName name="GalRepTblFld_s_exattr2" localSheetId="4">#REF!</definedName>
    <definedName name="GalRepTblFld_s_exattr2">#REF!</definedName>
    <definedName name="GalRepTblFld_s_exattr3" localSheetId="2">#REF!</definedName>
    <definedName name="GalRepTblFld_s_exattr3" localSheetId="4">#REF!</definedName>
    <definedName name="GalRepTblFld_s_exattr3">#REF!</definedName>
    <definedName name="GalRepTblFld_s_exattr4" localSheetId="2">#REF!</definedName>
    <definedName name="GalRepTblFld_s_exattr4" localSheetId="4">#REF!</definedName>
    <definedName name="GalRepTblFld_s_exattr4">#REF!</definedName>
    <definedName name="GalRepTblFld_s_exattr5" localSheetId="2">#REF!</definedName>
    <definedName name="GalRepTblFld_s_exattr5" localSheetId="4">#REF!</definedName>
    <definedName name="GalRepTblFld_s_exattr5">#REF!</definedName>
    <definedName name="GalRepVar_ГлавБух" localSheetId="2">#REF!</definedName>
    <definedName name="GalRepVar_ГлавБух" localSheetId="4">#REF!</definedName>
    <definedName name="GalRepVar_ГлавБух">#REF!</definedName>
    <definedName name="GalRepVar_Ответственный" localSheetId="2">#REF!</definedName>
    <definedName name="GalRepVar_Ответственный" localSheetId="4">#REF!</definedName>
    <definedName name="GalRepVar_Ответственный">#REF!</definedName>
    <definedName name="GalRepVar_Структ_подразд" localSheetId="2">[3]Отчет!#REF!</definedName>
    <definedName name="GalRepVar_Структ_подразд" localSheetId="4">[3]Отчет!#REF!</definedName>
    <definedName name="GalRepVar_Структ_подразд">[3]Отчет!#REF!</definedName>
    <definedName name="HTML_CodePage" hidden="1">1251</definedName>
    <definedName name="HTML_Control" localSheetId="2" hidden="1">{"'РП (2)'!$A$5:$S$150"}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Title" hidden="1">"План платежей 0699"</definedName>
    <definedName name="kBNT" localSheetId="2" hidden="1">{"'РП (2)'!$A$5:$S$150"}</definedName>
    <definedName name="kBNT" hidden="1">{"'РП (2)'!$A$5:$S$150"}</definedName>
    <definedName name="KL_OP">'[1]Прочие справочники'!$A$2:$A$6</definedName>
    <definedName name="KW">'[1]Прочие справочники'!$F$11:$F$22</definedName>
    <definedName name="kypc" localSheetId="2">'[4]реестр отгрузка'!#REF!</definedName>
    <definedName name="kypc" localSheetId="4">'[4]реестр отгрузка'!#REF!</definedName>
    <definedName name="kypc">'[4]реестр отгрузка'!#REF!</definedName>
    <definedName name="LIM">'[1]Нормативы платы за разм. отх.'!$D$2:$D$8</definedName>
    <definedName name="lll" localSheetId="2" hidden="1">{"'РП (2)'!$A$5:$S$150"}</definedName>
    <definedName name="lll" hidden="1">{"'РП (2)'!$A$5:$S$150"}</definedName>
    <definedName name="NKTV786">'[1]Справочник ФККО'!$B$2:$B$930</definedName>
    <definedName name="ss" localSheetId="2">#REF!</definedName>
    <definedName name="ss" localSheetId="4">#REF!</definedName>
    <definedName name="ss">#REF!</definedName>
    <definedName name="T" localSheetId="2">#REF!</definedName>
    <definedName name="T" localSheetId="4">#REF!</definedName>
    <definedName name="T">#REF!</definedName>
    <definedName name="Z_00F33AC1_9115_11D7_827F_00104BBA10B0_.wvu.Cols" localSheetId="2" hidden="1">#REF!,#REF!,#REF!</definedName>
    <definedName name="Z_00F33AC1_9115_11D7_827F_00104BBA10B0_.wvu.Cols" localSheetId="4" hidden="1">#REF!,#REF!,#REF!</definedName>
    <definedName name="Z_00F33AC1_9115_11D7_827F_00104BBA10B0_.wvu.Cols" hidden="1">#REF!,#REF!,#REF!</definedName>
    <definedName name="А27" localSheetId="2">#REF!</definedName>
    <definedName name="А27" localSheetId="4">#REF!</definedName>
    <definedName name="А27">#REF!</definedName>
    <definedName name="ааааа" localSheetId="2" hidden="1">{"'РП (2)'!$A$5:$S$150"}</definedName>
    <definedName name="ааааа" hidden="1">{"'РП (2)'!$A$5:$S$150"}</definedName>
    <definedName name="_xlnm.Database" localSheetId="2">#REF!</definedName>
    <definedName name="_xlnm.Database" localSheetId="4">#REF!</definedName>
    <definedName name="_xlnm.Database">#REF!</definedName>
    <definedName name="бюджет" localSheetId="2" hidden="1">{"'РП (2)'!$A$5:$S$150"}</definedName>
    <definedName name="бюджет" hidden="1">{"'РП (2)'!$A$5:$S$150"}</definedName>
    <definedName name="Бюджет_ОАО__СУАЛ" localSheetId="2">#REF!</definedName>
    <definedName name="Бюджет_ОАО__СУАЛ" localSheetId="4">#REF!</definedName>
    <definedName name="Бюджет_ОАО__СУАЛ">#REF!</definedName>
    <definedName name="вася" localSheetId="2">#REF!</definedName>
    <definedName name="вася" localSheetId="4">#REF!</definedName>
    <definedName name="вася">#REF!</definedName>
    <definedName name="ваф" localSheetId="2" hidden="1">{"'РП (2)'!$A$5:$S$150"}</definedName>
    <definedName name="ваф" hidden="1">{"'РП (2)'!$A$5:$S$150"}</definedName>
    <definedName name="группа">[5]Служебный!$A$2:$A$5</definedName>
    <definedName name="Группировка_Отчет" localSheetId="2">#REF!</definedName>
    <definedName name="Группировка_Отчет" localSheetId="4">#REF!</definedName>
    <definedName name="Группировка_Отчет">#REF!</definedName>
    <definedName name="ДН10">[6]Целое!$E$9</definedName>
    <definedName name="доб" localSheetId="2">#REF!</definedName>
    <definedName name="доб" localSheetId="4">#REF!</definedName>
    <definedName name="доб">#REF!</definedName>
    <definedName name="ДР10">[6]Целое!$D$9</definedName>
    <definedName name="ж" localSheetId="2" hidden="1">{"'РП (2)'!$A$5:$S$150"}</definedName>
    <definedName name="ж" hidden="1">{"'РП (2)'!$A$5:$S$150"}</definedName>
    <definedName name="ждт">[7]Номенклатура!$L$1:$L$65536</definedName>
    <definedName name="Заголовки_Отчет" localSheetId="2">#REF!</definedName>
    <definedName name="Заголовки_Отчет" localSheetId="4">#REF!</definedName>
    <definedName name="Заголовки_Отчет">#REF!</definedName>
    <definedName name="Заголовок_Валюта" localSheetId="2">#REF!</definedName>
    <definedName name="Заголовок_Валюта" localSheetId="4">#REF!</definedName>
    <definedName name="Заголовок_Валюта">#REF!</definedName>
    <definedName name="Заголовок_НДЕ" localSheetId="2">#REF!</definedName>
    <definedName name="Заголовок_НДЕ" localSheetId="4">#REF!</definedName>
    <definedName name="Заголовок_НДЕ">#REF!</definedName>
    <definedName name="й" localSheetId="2" hidden="1">{"'РП (2)'!$A$5:$S$150"}</definedName>
    <definedName name="й" hidden="1">{"'РП (2)'!$A$5:$S$150"}</definedName>
    <definedName name="К">[8]Исходные!$B$1</definedName>
    <definedName name="К3" localSheetId="2">[8]Исходные!#REF!</definedName>
    <definedName name="К3" localSheetId="4">[8]Исходные!#REF!</definedName>
    <definedName name="К3">[8]Исходные!#REF!</definedName>
    <definedName name="К4" localSheetId="2">[8]Исходные!#REF!</definedName>
    <definedName name="К4" localSheetId="4">[8]Исходные!#REF!</definedName>
    <definedName name="К4">[8]Исходные!#REF!</definedName>
    <definedName name="ка" localSheetId="2" hidden="1">{"'РП (2)'!$A$5:$S$150"}</definedName>
    <definedName name="ка" hidden="1">{"'РП (2)'!$A$5:$S$150"}</definedName>
    <definedName name="коэф">[7]Номенклатура!$J$1:$J$65536</definedName>
    <definedName name="КРАСНОЯРСК" localSheetId="2" hidden="1">{"'РП (2)'!$A$5:$S$150"}</definedName>
    <definedName name="КРАСНОЯРСК" hidden="1">{"'РП (2)'!$A$5:$S$150"}</definedName>
    <definedName name="курс" localSheetId="2">#REF!</definedName>
    <definedName name="курс" localSheetId="4">#REF!</definedName>
    <definedName name="курс">#REF!</definedName>
    <definedName name="Лист_Отчет" localSheetId="2">#REF!</definedName>
    <definedName name="Лист_Отчет" localSheetId="4">#REF!</definedName>
    <definedName name="Лист_Отчет">#REF!</definedName>
    <definedName name="марка">[5]Служебный!$A$50:$A$78</definedName>
    <definedName name="налог" localSheetId="2">#REF!</definedName>
    <definedName name="налог" localSheetId="4">#REF!</definedName>
    <definedName name="налог">#REF!</definedName>
    <definedName name="нач1дек">[9]Исходные!$B$3</definedName>
    <definedName name="ннн09">[6]Целое!$C$8</definedName>
    <definedName name="ннн10">[6]Целое!$E$8</definedName>
    <definedName name="ннр09">[6]Целое!$B$8</definedName>
    <definedName name="ннр10">[6]Целое!$D$8</definedName>
    <definedName name="Номер" localSheetId="2">#REF!</definedName>
    <definedName name="Номер" localSheetId="4">#REF!</definedName>
    <definedName name="Номер">#REF!</definedName>
    <definedName name="Об_окт" localSheetId="2">#REF!</definedName>
    <definedName name="Об_окт" localSheetId="4">#REF!</definedName>
    <definedName name="Об_окт">#REF!</definedName>
    <definedName name="_xlnm.Print_Area" localSheetId="2">операционные!$A$1:$FL$38</definedName>
    <definedName name="_xlnm.Print_Area" localSheetId="0">'смета наша'!$A$1:$S$107</definedName>
    <definedName name="_xlnm.Print_Area" localSheetId="4">'факт 2014 года'!$A$1:$W$113</definedName>
    <definedName name="_xlnm.Print_Area" localSheetId="1">'физика 2016'!$A$1:$J$145</definedName>
    <definedName name="_xlnm.Print_Area" localSheetId="3">'Физика на 2015 '!$B$1:$L$121</definedName>
    <definedName name="объём">[7]Номенклатура!$H$1:$H$65536</definedName>
    <definedName name="оператор">[5]Служебный!$A$80:$A$89</definedName>
    <definedName name="оплата" localSheetId="2">#REF!</definedName>
    <definedName name="оплата" localSheetId="4">#REF!</definedName>
    <definedName name="оплата">#REF!</definedName>
    <definedName name="ответств">[5]Служебный!$A$91:$A$112</definedName>
    <definedName name="отчдата">[9]Исходные!$B$1</definedName>
    <definedName name="отчет" localSheetId="2">#REF!</definedName>
    <definedName name="отчет" localSheetId="4">#REF!</definedName>
    <definedName name="отчет">#REF!</definedName>
    <definedName name="П" localSheetId="2" hidden="1">{"'РП (2)'!$A$5:$S$150"}</definedName>
    <definedName name="П" hidden="1">{"'РП (2)'!$A$5:$S$150"}</definedName>
    <definedName name="период">[8]Исходные!$B$2</definedName>
    <definedName name="Поле_группировки_Отчет" localSheetId="2">#REF!</definedName>
    <definedName name="Поле_группировки_Отчет" localSheetId="4">#REF!</definedName>
    <definedName name="Поле_группировки_Отчет">#REF!</definedName>
    <definedName name="про1">[10]ставки!$A$15:$P$32</definedName>
    <definedName name="размер">[7]Номенклатура!$D$1:$D$65536</definedName>
    <definedName name="разр" localSheetId="2">#REF!</definedName>
    <definedName name="разр" localSheetId="4">#REF!</definedName>
    <definedName name="разр">#REF!</definedName>
    <definedName name="разрезы1">[5]Служебный!$A$7:$A$25</definedName>
    <definedName name="разрезы2">[5]Служебный!$A$27:$A$48</definedName>
    <definedName name="с" localSheetId="2" hidden="1">{"'РП (2)'!$A$5:$S$150"}</definedName>
    <definedName name="с" hidden="1">{"'РП (2)'!$A$5:$S$150"}</definedName>
    <definedName name="СБ" localSheetId="2">#REF!</definedName>
    <definedName name="СБ" localSheetId="4">#REF!</definedName>
    <definedName name="СБ">#REF!</definedName>
    <definedName name="снн09">[6]Целое!$C$7</definedName>
    <definedName name="снн10">[6]Целое!$E$7</definedName>
    <definedName name="снр09">[6]Целое!$B$7</definedName>
    <definedName name="снр10">[6]Целое!$D$7</definedName>
    <definedName name="сталь">[7]Номенклатура!$C$1:$C$65536</definedName>
    <definedName name="Статья" localSheetId="2">#REF!</definedName>
    <definedName name="Статья" localSheetId="4">#REF!</definedName>
    <definedName name="Статья">#REF!</definedName>
    <definedName name="сумм" localSheetId="2">#REF!</definedName>
    <definedName name="сумм" localSheetId="4">#REF!</definedName>
    <definedName name="сумм">#REF!</definedName>
    <definedName name="труба">[7]Номенклатура!$N$1:$N$65536</definedName>
    <definedName name="ТУ">[7]Номенклатура!$G$1:$G$65536</definedName>
    <definedName name="Формирование_Отчет" localSheetId="2">#REF!</definedName>
    <definedName name="Формирование_Отчет" localSheetId="4">#REF!</definedName>
    <definedName name="Формирование_Отчет">#REF!</definedName>
    <definedName name="фц" localSheetId="2" hidden="1">{"'РП (2)'!$A$5:$S$150"}</definedName>
    <definedName name="фц" hidden="1">{"'РП (2)'!$A$5:$S$150"}</definedName>
    <definedName name="цена">[7]Номенклатура!$I$1:$I$65536</definedName>
    <definedName name="цу" localSheetId="2" hidden="1">{"'РП (2)'!$A$5:$S$150"}</definedName>
    <definedName name="цу" hidden="1">{"'РП (2)'!$A$5:$S$150"}</definedName>
    <definedName name="ъ\" localSheetId="2" hidden="1">{"'РП (2)'!$A$5:$S$150"}</definedName>
    <definedName name="ъ\" hidden="1">{"'РП (2)'!$A$5:$S$150"}</definedName>
    <definedName name="ыыы" localSheetId="2" hidden="1">{"'РП (2)'!$A$5:$S$150"}</definedName>
    <definedName name="ыыы" hidden="1">{"'РП (2)'!$A$5:$S$150"}</definedName>
    <definedName name="я" localSheetId="2" hidden="1">{"'РП (2)'!$A$5:$S$150"}</definedName>
    <definedName name="я" hidden="1">{"'РП (2)'!$A$5:$S$150"}</definedName>
  </definedNames>
  <calcPr calcId="145621"/>
</workbook>
</file>

<file path=xl/calcChain.xml><?xml version="1.0" encoding="utf-8"?>
<calcChain xmlns="http://schemas.openxmlformats.org/spreadsheetml/2006/main">
  <c r="G20" i="7" l="1"/>
  <c r="G19" i="7" s="1"/>
  <c r="G18" i="7" s="1"/>
  <c r="G25" i="7"/>
  <c r="G45" i="7"/>
  <c r="G49" i="7"/>
  <c r="G50" i="7"/>
  <c r="G54" i="7"/>
  <c r="G73" i="7" s="1"/>
  <c r="G76" i="7"/>
  <c r="G81" i="7"/>
  <c r="G97" i="7" s="1"/>
  <c r="G89" i="7"/>
  <c r="G90" i="7"/>
  <c r="G104" i="7" l="1"/>
  <c r="G105" i="7"/>
  <c r="G106" i="7" s="1"/>
  <c r="F118" i="18"/>
  <c r="J95" i="18"/>
  <c r="J67" i="18"/>
  <c r="J82" i="18"/>
  <c r="I82" i="18"/>
  <c r="I67" i="18"/>
  <c r="F49" i="18" l="1"/>
  <c r="H150" i="18"/>
  <c r="C149" i="18"/>
  <c r="J150" i="18" s="1"/>
  <c r="B149" i="18"/>
  <c r="I150" i="18" s="1"/>
  <c r="M148" i="18"/>
  <c r="M149" i="18" s="1"/>
  <c r="B148" i="18"/>
  <c r="I148" i="18" s="1"/>
  <c r="I145" i="18"/>
  <c r="J142" i="18"/>
  <c r="J139" i="18"/>
  <c r="J137" i="18"/>
  <c r="J136" i="18"/>
  <c r="J133" i="18"/>
  <c r="J131" i="18"/>
  <c r="J130" i="18"/>
  <c r="J145" i="18" s="1"/>
  <c r="J129" i="18"/>
  <c r="I129" i="18"/>
  <c r="F129" i="18"/>
  <c r="J125" i="18"/>
  <c r="J124" i="18" s="1"/>
  <c r="I124" i="18"/>
  <c r="J118" i="18"/>
  <c r="I117" i="18"/>
  <c r="I116" i="18"/>
  <c r="J116" i="18" s="1"/>
  <c r="I115" i="18"/>
  <c r="I128" i="18" s="1"/>
  <c r="I143" i="18" s="1"/>
  <c r="F115" i="18"/>
  <c r="F128" i="18" s="1"/>
  <c r="J105" i="18"/>
  <c r="J100" i="18"/>
  <c r="J98" i="18"/>
  <c r="I113" i="18"/>
  <c r="I111" i="18" s="1"/>
  <c r="J94" i="18"/>
  <c r="J93" i="18"/>
  <c r="J90" i="18"/>
  <c r="I90" i="18"/>
  <c r="F90" i="18"/>
  <c r="J87" i="18"/>
  <c r="J84" i="18"/>
  <c r="I81" i="18"/>
  <c r="J81" i="18" s="1"/>
  <c r="F80" i="18"/>
  <c r="J66" i="18"/>
  <c r="I66" i="18"/>
  <c r="F66" i="18"/>
  <c r="J65" i="18"/>
  <c r="J59" i="18"/>
  <c r="J58" i="18"/>
  <c r="I57" i="18"/>
  <c r="J57" i="18" s="1"/>
  <c r="J56" i="18" s="1"/>
  <c r="J45" i="18"/>
  <c r="I43" i="18"/>
  <c r="J36" i="18"/>
  <c r="J29" i="18"/>
  <c r="J43" i="18" s="1"/>
  <c r="I28" i="18"/>
  <c r="J26" i="18"/>
  <c r="F25" i="18"/>
  <c r="D25" i="18"/>
  <c r="J20" i="18"/>
  <c r="J19" i="18"/>
  <c r="I18" i="18"/>
  <c r="J17" i="18"/>
  <c r="J18" i="18"/>
  <c r="J13" i="18"/>
  <c r="J12" i="18" s="1"/>
  <c r="I13" i="18"/>
  <c r="F13" i="18"/>
  <c r="F18" i="18" s="1"/>
  <c r="I12" i="18"/>
  <c r="BN14" i="17"/>
  <c r="BX14" i="17" s="1"/>
  <c r="J28" i="18" l="1"/>
  <c r="I112" i="18"/>
  <c r="J50" i="18"/>
  <c r="J49" i="18" s="1"/>
  <c r="J35" i="18" s="1"/>
  <c r="J42" i="18" s="1"/>
  <c r="I50" i="18"/>
  <c r="J112" i="18"/>
  <c r="F62" i="18"/>
  <c r="F12" i="18"/>
  <c r="F112" i="18" s="1"/>
  <c r="I56" i="18"/>
  <c r="I62" i="18" s="1"/>
  <c r="I49" i="18"/>
  <c r="I35" i="18" s="1"/>
  <c r="I42" i="18" s="1"/>
  <c r="F95" i="18"/>
  <c r="F99" i="18" s="1"/>
  <c r="F111" i="18" s="1"/>
  <c r="J115" i="18"/>
  <c r="J128" i="18" s="1"/>
  <c r="J143" i="18" s="1"/>
  <c r="J148" i="18"/>
  <c r="I149" i="18"/>
  <c r="J149" i="18"/>
  <c r="CH14" i="17"/>
  <c r="DS11" i="17"/>
  <c r="FT11" i="17" s="1"/>
  <c r="BX16" i="17"/>
  <c r="J62" i="18" l="1"/>
  <c r="J61" i="18" s="1"/>
  <c r="J74" i="18"/>
  <c r="J73" i="18" s="1"/>
  <c r="K61" i="18"/>
  <c r="F74" i="18"/>
  <c r="F88" i="18" s="1"/>
  <c r="F61" i="18"/>
  <c r="J99" i="18"/>
  <c r="J113" i="18"/>
  <c r="J111" i="18" s="1"/>
  <c r="I61" i="18"/>
  <c r="I74" i="18" s="1"/>
  <c r="I73" i="18" s="1"/>
  <c r="CH16" i="17"/>
  <c r="DB14" i="17"/>
  <c r="I80" i="18" l="1"/>
  <c r="I88" i="18" s="1"/>
  <c r="J80" i="18"/>
  <c r="J88" i="18" s="1"/>
  <c r="DC14" i="17"/>
  <c r="DB16" i="17"/>
  <c r="DC16" i="17" l="1"/>
  <c r="DD14" i="17"/>
  <c r="DE14" i="17" l="1"/>
  <c r="DD16" i="17"/>
  <c r="DE16" i="17" l="1"/>
  <c r="DF14" i="17"/>
  <c r="DG14" i="17" l="1"/>
  <c r="DF16" i="17"/>
  <c r="DG16" i="17" l="1"/>
  <c r="DH14" i="17"/>
  <c r="DI14" i="17" l="1"/>
  <c r="DH16" i="17"/>
  <c r="DI16" i="17" l="1"/>
  <c r="DJ14" i="17"/>
  <c r="DK14" i="17" l="1"/>
  <c r="DK16" i="17" s="1"/>
  <c r="DJ16" i="17"/>
  <c r="J81" i="7" l="1"/>
  <c r="J97" i="7" s="1"/>
  <c r="J54" i="7"/>
  <c r="J50" i="7" l="1"/>
  <c r="J49" i="7"/>
  <c r="I96" i="7"/>
  <c r="I95" i="7"/>
  <c r="I88" i="7"/>
  <c r="I82" i="7"/>
  <c r="I77" i="7"/>
  <c r="I65" i="7"/>
  <c r="I62" i="7"/>
  <c r="I60" i="7"/>
  <c r="I59" i="7"/>
  <c r="I58" i="7"/>
  <c r="I51" i="7"/>
  <c r="I48" i="7"/>
  <c r="I47" i="7"/>
  <c r="I46" i="7"/>
  <c r="I43" i="7"/>
  <c r="I38" i="7"/>
  <c r="I35" i="7"/>
  <c r="I32" i="7"/>
  <c r="I30" i="7"/>
  <c r="I45" i="7"/>
  <c r="I90" i="7" l="1"/>
  <c r="H81" i="7"/>
  <c r="H76" i="7"/>
  <c r="H54" i="7"/>
  <c r="H73" i="7" s="1"/>
  <c r="H50" i="7"/>
  <c r="H49" i="7"/>
  <c r="J25" i="7"/>
  <c r="J18" i="7" s="1"/>
  <c r="I25" i="7"/>
  <c r="H25" i="7"/>
  <c r="H20" i="7"/>
  <c r="H19" i="7" s="1"/>
  <c r="I20" i="7"/>
  <c r="I19" i="7" s="1"/>
  <c r="I50" i="7" l="1"/>
  <c r="H97" i="7"/>
  <c r="I81" i="7"/>
  <c r="H18" i="7"/>
  <c r="I54" i="7"/>
  <c r="I89" i="7"/>
  <c r="I76" i="7"/>
  <c r="I49" i="7"/>
  <c r="I18" i="7"/>
  <c r="N89" i="7"/>
  <c r="I97" i="7" l="1"/>
  <c r="O96" i="7"/>
  <c r="O95" i="7"/>
  <c r="O93" i="7"/>
  <c r="O92" i="7"/>
  <c r="O91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1" i="7"/>
  <c r="O70" i="7"/>
  <c r="O69" i="7"/>
  <c r="O68" i="7"/>
  <c r="O67" i="7"/>
  <c r="O66" i="7"/>
  <c r="O64" i="7"/>
  <c r="O63" i="7"/>
  <c r="O62" i="7"/>
  <c r="O61" i="7"/>
  <c r="O59" i="7"/>
  <c r="O58" i="7"/>
  <c r="O57" i="7"/>
  <c r="O56" i="7"/>
  <c r="O55" i="7"/>
  <c r="O53" i="7"/>
  <c r="O52" i="7"/>
  <c r="O48" i="7"/>
  <c r="O47" i="7"/>
  <c r="O41" i="7"/>
  <c r="O40" i="7"/>
  <c r="O39" i="7"/>
  <c r="O38" i="7"/>
  <c r="O37" i="7"/>
  <c r="O34" i="7"/>
  <c r="N91" i="7" l="1"/>
  <c r="J73" i="7" l="1"/>
  <c r="J104" i="7" l="1"/>
  <c r="J105" i="7" l="1"/>
  <c r="J106" i="7" s="1"/>
  <c r="L107" i="14"/>
  <c r="J107" i="14"/>
  <c r="I109" i="15" l="1"/>
  <c r="I107" i="15"/>
  <c r="I100" i="15"/>
  <c r="I97" i="15"/>
  <c r="I93" i="15"/>
  <c r="I92" i="15"/>
  <c r="I75" i="15"/>
  <c r="I68" i="15"/>
  <c r="I63" i="15"/>
  <c r="I57" i="15"/>
  <c r="I54" i="15"/>
  <c r="I51" i="15"/>
  <c r="I50" i="15"/>
  <c r="I49" i="15"/>
  <c r="I48" i="15"/>
  <c r="I47" i="15"/>
  <c r="I42" i="15"/>
  <c r="I41" i="15"/>
  <c r="I39" i="15"/>
  <c r="I38" i="15"/>
  <c r="I36" i="15"/>
  <c r="I35" i="15"/>
  <c r="I33" i="15"/>
  <c r="I32" i="15"/>
  <c r="I29" i="15"/>
  <c r="I28" i="15"/>
  <c r="I27" i="15"/>
  <c r="I26" i="15"/>
  <c r="I25" i="15"/>
  <c r="I24" i="15"/>
  <c r="I23" i="15"/>
  <c r="I22" i="15"/>
  <c r="I21" i="15"/>
  <c r="I20" i="15"/>
  <c r="H100" i="15"/>
  <c r="H108" i="15"/>
  <c r="H76" i="15"/>
  <c r="G108" i="15"/>
  <c r="I108" i="15" s="1"/>
  <c r="R108" i="15"/>
  <c r="N108" i="15"/>
  <c r="U101" i="15"/>
  <c r="T101" i="15"/>
  <c r="S101" i="15"/>
  <c r="Q101" i="15"/>
  <c r="P101" i="15"/>
  <c r="O101" i="15"/>
  <c r="M101" i="15"/>
  <c r="L101" i="15"/>
  <c r="L98" i="15" s="1"/>
  <c r="K101" i="15"/>
  <c r="N100" i="15"/>
  <c r="M99" i="15"/>
  <c r="T98" i="15"/>
  <c r="R98" i="15"/>
  <c r="Q98" i="15"/>
  <c r="P98" i="15"/>
  <c r="O98" i="15"/>
  <c r="K98" i="15"/>
  <c r="K97" i="15"/>
  <c r="R93" i="15"/>
  <c r="K93" i="15"/>
  <c r="R92" i="15"/>
  <c r="R100" i="15" s="1"/>
  <c r="K92" i="15"/>
  <c r="K100" i="15" s="1"/>
  <c r="U84" i="15"/>
  <c r="T84" i="15"/>
  <c r="S84" i="15"/>
  <c r="Q84" i="15"/>
  <c r="P84" i="15"/>
  <c r="O84" i="15"/>
  <c r="U79" i="15"/>
  <c r="T79" i="15"/>
  <c r="S79" i="15"/>
  <c r="Q79" i="15"/>
  <c r="P79" i="15"/>
  <c r="O79" i="15"/>
  <c r="N76" i="15"/>
  <c r="G76" i="15"/>
  <c r="I76" i="15" s="1"/>
  <c r="O75" i="15"/>
  <c r="M75" i="15"/>
  <c r="M74" i="15"/>
  <c r="M73" i="15"/>
  <c r="M72" i="15"/>
  <c r="M71" i="15"/>
  <c r="M70" i="15"/>
  <c r="M69" i="15"/>
  <c r="U68" i="15"/>
  <c r="T68" i="15"/>
  <c r="S68" i="15"/>
  <c r="O68" i="15"/>
  <c r="L68" i="15"/>
  <c r="K68" i="15"/>
  <c r="K63" i="15"/>
  <c r="L63" i="15" s="1"/>
  <c r="R57" i="15"/>
  <c r="R76" i="15" s="1"/>
  <c r="L54" i="15"/>
  <c r="M54" i="15" s="1"/>
  <c r="K53" i="15"/>
  <c r="K52" i="15"/>
  <c r="J52" i="15"/>
  <c r="L51" i="15"/>
  <c r="O51" i="15" s="1"/>
  <c r="P51" i="15" s="1"/>
  <c r="Q51" i="15" s="1"/>
  <c r="O50" i="15"/>
  <c r="P50" i="15" s="1"/>
  <c r="Q50" i="15" s="1"/>
  <c r="S50" i="15" s="1"/>
  <c r="T50" i="15" s="1"/>
  <c r="U50" i="15" s="1"/>
  <c r="M50" i="15"/>
  <c r="O47" i="15"/>
  <c r="M47" i="15"/>
  <c r="K44" i="15"/>
  <c r="K43" i="15"/>
  <c r="L43" i="15" s="1"/>
  <c r="N38" i="15"/>
  <c r="T37" i="15"/>
  <c r="U37" i="15" s="1"/>
  <c r="U34" i="15" s="1"/>
  <c r="S37" i="15"/>
  <c r="N35" i="15"/>
  <c r="T34" i="15"/>
  <c r="S34" i="15"/>
  <c r="N33" i="15"/>
  <c r="N29" i="15"/>
  <c r="K29" i="15"/>
  <c r="L29" i="15" s="1"/>
  <c r="O29" i="15" s="1"/>
  <c r="N28" i="15"/>
  <c r="K28" i="15"/>
  <c r="L28" i="15" s="1"/>
  <c r="O28" i="15" s="1"/>
  <c r="N27" i="15"/>
  <c r="K26" i="15"/>
  <c r="L26" i="15" s="1"/>
  <c r="M26" i="15" s="1"/>
  <c r="K25" i="15"/>
  <c r="L25" i="15" s="1"/>
  <c r="K24" i="15"/>
  <c r="L24" i="15" s="1"/>
  <c r="M24" i="15" s="1"/>
  <c r="K23" i="15"/>
  <c r="L23" i="15" s="1"/>
  <c r="N22" i="15"/>
  <c r="N21" i="15"/>
  <c r="N20" i="15" s="1"/>
  <c r="M97" i="15" l="1"/>
  <c r="Q97" i="15" s="1"/>
  <c r="U97" i="15" s="1"/>
  <c r="M98" i="15"/>
  <c r="M51" i="15"/>
  <c r="L53" i="15"/>
  <c r="L49" i="15" s="1"/>
  <c r="O54" i="15"/>
  <c r="L97" i="15"/>
  <c r="O97" i="15" s="1"/>
  <c r="K27" i="15"/>
  <c r="K22" i="15"/>
  <c r="K42" i="15"/>
  <c r="O23" i="15"/>
  <c r="L22" i="15"/>
  <c r="L21" i="15" s="1"/>
  <c r="M23" i="15"/>
  <c r="P28" i="15"/>
  <c r="O27" i="15"/>
  <c r="P29" i="15"/>
  <c r="S29" i="15" s="1"/>
  <c r="T29" i="15" s="1"/>
  <c r="U29" i="15" s="1"/>
  <c r="O25" i="15"/>
  <c r="M25" i="15"/>
  <c r="M43" i="15"/>
  <c r="O43" i="15"/>
  <c r="O24" i="15"/>
  <c r="O26" i="15"/>
  <c r="L27" i="15"/>
  <c r="M28" i="15"/>
  <c r="M29" i="15"/>
  <c r="S51" i="15"/>
  <c r="T51" i="15" s="1"/>
  <c r="U51" i="15" s="1"/>
  <c r="O49" i="15"/>
  <c r="O63" i="15"/>
  <c r="O57" i="15" s="1"/>
  <c r="L57" i="15"/>
  <c r="M49" i="15"/>
  <c r="M93" i="15" s="1"/>
  <c r="K57" i="15"/>
  <c r="M63" i="15"/>
  <c r="M68" i="15"/>
  <c r="P97" i="15"/>
  <c r="S97" i="15" s="1"/>
  <c r="T97" i="15" s="1"/>
  <c r="S98" i="15"/>
  <c r="U98" i="15"/>
  <c r="L93" i="15" l="1"/>
  <c r="L48" i="15"/>
  <c r="M53" i="15"/>
  <c r="K119" i="15"/>
  <c r="K21" i="15"/>
  <c r="K20" i="15" s="1"/>
  <c r="Q29" i="15"/>
  <c r="P24" i="15"/>
  <c r="S24" i="15" s="1"/>
  <c r="T24" i="15" s="1"/>
  <c r="U24" i="15" s="1"/>
  <c r="P25" i="15"/>
  <c r="S25" i="15" s="1"/>
  <c r="T25" i="15" s="1"/>
  <c r="U25" i="15" s="1"/>
  <c r="S28" i="15"/>
  <c r="P27" i="15"/>
  <c r="Q27" i="15" s="1"/>
  <c r="L20" i="15"/>
  <c r="K76" i="15"/>
  <c r="M57" i="15"/>
  <c r="O93" i="15"/>
  <c r="O53" i="15"/>
  <c r="M27" i="15"/>
  <c r="P26" i="15"/>
  <c r="S26" i="15" s="1"/>
  <c r="T26" i="15" s="1"/>
  <c r="U26" i="15" s="1"/>
  <c r="P43" i="15"/>
  <c r="Q28" i="15"/>
  <c r="M22" i="15"/>
  <c r="M21" i="15" s="1"/>
  <c r="P23" i="15"/>
  <c r="Q23" i="15" s="1"/>
  <c r="O22" i="15"/>
  <c r="O48" i="15" l="1"/>
  <c r="L52" i="15"/>
  <c r="M52" i="15" s="1"/>
  <c r="L92" i="15"/>
  <c r="L100" i="15" s="1"/>
  <c r="M48" i="15"/>
  <c r="M92" i="15" s="1"/>
  <c r="M100" i="15" s="1"/>
  <c r="L76" i="15"/>
  <c r="Q25" i="15"/>
  <c r="M20" i="15"/>
  <c r="O21" i="15"/>
  <c r="S43" i="15"/>
  <c r="Q43" i="15"/>
  <c r="P22" i="15"/>
  <c r="P21" i="15" s="1"/>
  <c r="P20" i="15" s="1"/>
  <c r="S23" i="15"/>
  <c r="Q26" i="15"/>
  <c r="S27" i="15"/>
  <c r="T28" i="15"/>
  <c r="Q24" i="15"/>
  <c r="O92" i="15" l="1"/>
  <c r="O100" i="15" s="1"/>
  <c r="O76" i="15"/>
  <c r="O52" i="15"/>
  <c r="M76" i="15"/>
  <c r="U28" i="15"/>
  <c r="U27" i="15" s="1"/>
  <c r="T27" i="15"/>
  <c r="T43" i="15"/>
  <c r="Q21" i="15"/>
  <c r="O20" i="15"/>
  <c r="Q20" i="15" s="1"/>
  <c r="T23" i="15"/>
  <c r="S22" i="15"/>
  <c r="S21" i="15" s="1"/>
  <c r="S20" i="15" s="1"/>
  <c r="Q22" i="15"/>
  <c r="U23" i="15" l="1"/>
  <c r="U22" i="15" s="1"/>
  <c r="U21" i="15" s="1"/>
  <c r="U20" i="15" s="1"/>
  <c r="T22" i="15"/>
  <c r="T21" i="15" s="1"/>
  <c r="T20" i="15" s="1"/>
  <c r="U43" i="15"/>
  <c r="I73" i="7"/>
  <c r="I104" i="7" l="1"/>
  <c r="I105" i="7"/>
  <c r="I106" i="7" s="1"/>
  <c r="H105" i="7"/>
  <c r="H106" i="7" s="1"/>
  <c r="H104" i="7"/>
  <c r="J74" i="14"/>
  <c r="N94" i="7" l="1"/>
  <c r="S94" i="7" l="1"/>
  <c r="J30" i="14"/>
  <c r="O94" i="7" l="1"/>
  <c r="S27" i="7"/>
  <c r="S24" i="7"/>
  <c r="L110" i="14"/>
  <c r="N27" i="7" l="1"/>
  <c r="L44" i="15"/>
  <c r="N26" i="7"/>
  <c r="S26" i="7"/>
  <c r="N24" i="7"/>
  <c r="N21" i="7"/>
  <c r="S21" i="7"/>
  <c r="N104" i="14"/>
  <c r="N107" i="14" s="1"/>
  <c r="N110" i="14" s="1"/>
  <c r="J83" i="14" s="1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80" i="14"/>
  <c r="P104" i="14" s="1"/>
  <c r="H80" i="14"/>
  <c r="H102" i="14" s="1"/>
  <c r="L71" i="14"/>
  <c r="J57" i="14"/>
  <c r="L57" i="14" s="1"/>
  <c r="J37" i="14"/>
  <c r="J13" i="14"/>
  <c r="J12" i="14" s="1"/>
  <c r="H37" i="14"/>
  <c r="H18" i="14"/>
  <c r="E121" i="14"/>
  <c r="I120" i="14"/>
  <c r="I121" i="14" s="1"/>
  <c r="F120" i="14"/>
  <c r="F121" i="14" s="1"/>
  <c r="I113" i="14"/>
  <c r="F113" i="14"/>
  <c r="E113" i="14"/>
  <c r="G112" i="14"/>
  <c r="L111" i="14"/>
  <c r="K111" i="14"/>
  <c r="K110" i="14"/>
  <c r="O106" i="14"/>
  <c r="J105" i="14"/>
  <c r="H105" i="14"/>
  <c r="G105" i="14"/>
  <c r="E105" i="14"/>
  <c r="L90" i="14"/>
  <c r="L95" i="14" s="1"/>
  <c r="K90" i="14"/>
  <c r="K95" i="14" s="1"/>
  <c r="J90" i="14"/>
  <c r="J95" i="14" s="1"/>
  <c r="G90" i="14"/>
  <c r="G95" i="14" s="1"/>
  <c r="F90" i="14"/>
  <c r="F95" i="14" s="1"/>
  <c r="E90" i="14"/>
  <c r="E95" i="14" s="1"/>
  <c r="H85" i="14"/>
  <c r="G80" i="14"/>
  <c r="G85" i="14" s="1"/>
  <c r="F80" i="14"/>
  <c r="F88" i="14" s="1"/>
  <c r="F103" i="14" s="1"/>
  <c r="E80" i="14"/>
  <c r="E85" i="14" s="1"/>
  <c r="L76" i="14"/>
  <c r="K76" i="14"/>
  <c r="J76" i="14"/>
  <c r="G76" i="14"/>
  <c r="F76" i="14"/>
  <c r="F74" i="14"/>
  <c r="H70" i="14"/>
  <c r="G70" i="14"/>
  <c r="E70" i="14"/>
  <c r="L67" i="14"/>
  <c r="K67" i="14"/>
  <c r="J67" i="14"/>
  <c r="G67" i="14"/>
  <c r="F67" i="14"/>
  <c r="L66" i="14"/>
  <c r="K66" i="14"/>
  <c r="J66" i="14"/>
  <c r="G66" i="14"/>
  <c r="F66" i="14"/>
  <c r="H63" i="14"/>
  <c r="E63" i="14"/>
  <c r="E59" i="14"/>
  <c r="F57" i="14"/>
  <c r="K56" i="14"/>
  <c r="H56" i="14"/>
  <c r="G56" i="14"/>
  <c r="F56" i="14"/>
  <c r="G54" i="14"/>
  <c r="G64" i="14" s="1"/>
  <c r="G63" i="14" s="1"/>
  <c r="G78" i="14" s="1"/>
  <c r="E54" i="14"/>
  <c r="E57" i="14" s="1"/>
  <c r="E56" i="14" s="1"/>
  <c r="L51" i="14"/>
  <c r="L50" i="14" s="1"/>
  <c r="K50" i="14"/>
  <c r="J50" i="14"/>
  <c r="G50" i="14"/>
  <c r="F50" i="14"/>
  <c r="H43" i="14"/>
  <c r="G43" i="14"/>
  <c r="E43" i="14"/>
  <c r="L39" i="14"/>
  <c r="K39" i="14"/>
  <c r="J39" i="14"/>
  <c r="G39" i="14"/>
  <c r="F39" i="14"/>
  <c r="F37" i="14"/>
  <c r="G36" i="14"/>
  <c r="E36" i="14"/>
  <c r="K30" i="14"/>
  <c r="H29" i="14"/>
  <c r="G29" i="14"/>
  <c r="E29" i="14"/>
  <c r="L23" i="14"/>
  <c r="H22" i="14"/>
  <c r="G22" i="14"/>
  <c r="E22" i="14"/>
  <c r="K20" i="14"/>
  <c r="L20" i="14" s="1"/>
  <c r="L19" i="14"/>
  <c r="J18" i="14"/>
  <c r="K18" i="14" s="1"/>
  <c r="L18" i="14" s="1"/>
  <c r="G18" i="14"/>
  <c r="K17" i="14"/>
  <c r="L17" i="14" s="1"/>
  <c r="F17" i="14"/>
  <c r="E17" i="14"/>
  <c r="K16" i="14"/>
  <c r="L16" i="14" s="1"/>
  <c r="E16" i="14"/>
  <c r="K15" i="14"/>
  <c r="L15" i="14" s="1"/>
  <c r="K14" i="14"/>
  <c r="F14" i="14"/>
  <c r="F18" i="14" s="1"/>
  <c r="E14" i="14"/>
  <c r="G13" i="14"/>
  <c r="G12" i="14"/>
  <c r="F13" i="14" l="1"/>
  <c r="F12" i="14" s="1"/>
  <c r="F102" i="14" s="1"/>
  <c r="N41" i="7"/>
  <c r="S41" i="7" s="1"/>
  <c r="O44" i="15"/>
  <c r="O42" i="15" s="1"/>
  <c r="L42" i="15"/>
  <c r="M44" i="15"/>
  <c r="Q44" i="15" s="1"/>
  <c r="E78" i="14"/>
  <c r="O104" i="14"/>
  <c r="J88" i="14" s="1"/>
  <c r="J103" i="14" s="1"/>
  <c r="S23" i="7"/>
  <c r="J85" i="14"/>
  <c r="J80" i="14"/>
  <c r="K83" i="14"/>
  <c r="J44" i="14"/>
  <c r="J43" i="14" s="1"/>
  <c r="H78" i="14"/>
  <c r="F44" i="14"/>
  <c r="H53" i="14"/>
  <c r="H54" i="14"/>
  <c r="E18" i="14"/>
  <c r="E13" i="14"/>
  <c r="E12" i="14" s="1"/>
  <c r="E102" i="14" s="1"/>
  <c r="L14" i="14"/>
  <c r="L13" i="14" s="1"/>
  <c r="L12" i="14" s="1"/>
  <c r="K13" i="14"/>
  <c r="K12" i="14" s="1"/>
  <c r="L30" i="14"/>
  <c r="L37" i="14" s="1"/>
  <c r="L44" i="14" s="1"/>
  <c r="K37" i="14"/>
  <c r="F101" i="14"/>
  <c r="J102" i="14"/>
  <c r="L105" i="14"/>
  <c r="L112" i="14"/>
  <c r="E53" i="14"/>
  <c r="G53" i="14"/>
  <c r="J56" i="14"/>
  <c r="L56" i="14"/>
  <c r="K80" i="14"/>
  <c r="F85" i="14"/>
  <c r="G102" i="14"/>
  <c r="G103" i="14"/>
  <c r="G101" i="14" s="1"/>
  <c r="K107" i="14"/>
  <c r="J112" i="14"/>
  <c r="K41" i="15" l="1"/>
  <c r="K102" i="14"/>
  <c r="N23" i="7"/>
  <c r="M42" i="15"/>
  <c r="P44" i="15"/>
  <c r="U44" i="15"/>
  <c r="Q42" i="15"/>
  <c r="N22" i="7"/>
  <c r="S22" i="7"/>
  <c r="K88" i="14"/>
  <c r="K85" i="14" s="1"/>
  <c r="L88" i="14"/>
  <c r="L85" i="14" s="1"/>
  <c r="K103" i="14"/>
  <c r="J101" i="14"/>
  <c r="L83" i="14"/>
  <c r="L80" i="14" s="1"/>
  <c r="L102" i="14" s="1"/>
  <c r="J54" i="14"/>
  <c r="J64" i="14" s="1"/>
  <c r="J63" i="14" s="1"/>
  <c r="J29" i="14"/>
  <c r="J22" i="14"/>
  <c r="K44" i="14"/>
  <c r="K43" i="14" s="1"/>
  <c r="K29" i="14" s="1"/>
  <c r="L43" i="14"/>
  <c r="L22" i="14" s="1"/>
  <c r="F54" i="14"/>
  <c r="F43" i="14"/>
  <c r="F22" i="14" s="1"/>
  <c r="K112" i="14"/>
  <c r="K105" i="14"/>
  <c r="L103" i="14"/>
  <c r="K54" i="14"/>
  <c r="L29" i="14"/>
  <c r="K101" i="14"/>
  <c r="L54" i="14"/>
  <c r="N76" i="7"/>
  <c r="L41" i="15" l="1"/>
  <c r="O41" i="15" s="1"/>
  <c r="Q41" i="15" s="1"/>
  <c r="K36" i="15"/>
  <c r="L9" i="7"/>
  <c r="S44" i="15"/>
  <c r="S42" i="15" s="1"/>
  <c r="P42" i="15"/>
  <c r="T44" i="15"/>
  <c r="T42" i="15" s="1"/>
  <c r="U42" i="15"/>
  <c r="N38" i="7"/>
  <c r="J53" i="14"/>
  <c r="J36" i="14"/>
  <c r="K74" i="14"/>
  <c r="L74" i="14" s="1"/>
  <c r="L64" i="14"/>
  <c r="L63" i="14" s="1"/>
  <c r="L53" i="14"/>
  <c r="K64" i="14"/>
  <c r="K63" i="14" s="1"/>
  <c r="K53" i="14"/>
  <c r="K71" i="14"/>
  <c r="L101" i="14"/>
  <c r="F29" i="14"/>
  <c r="F36" i="14" s="1"/>
  <c r="L36" i="14"/>
  <c r="K22" i="14"/>
  <c r="K36" i="14" s="1"/>
  <c r="F53" i="14"/>
  <c r="F71" i="14"/>
  <c r="F70" i="14" s="1"/>
  <c r="F64" i="14"/>
  <c r="F63" i="14" s="1"/>
  <c r="L36" i="15" l="1"/>
  <c r="U41" i="15"/>
  <c r="P41" i="15"/>
  <c r="S41" i="15" s="1"/>
  <c r="O53" i="14"/>
  <c r="N53" i="14"/>
  <c r="K35" i="15"/>
  <c r="M41" i="15"/>
  <c r="S38" i="7"/>
  <c r="K70" i="14"/>
  <c r="K78" i="14" s="1"/>
  <c r="L70" i="14"/>
  <c r="L39" i="15" s="1"/>
  <c r="J70" i="14"/>
  <c r="K39" i="15" s="1"/>
  <c r="F78" i="14"/>
  <c r="K38" i="15" l="1"/>
  <c r="M39" i="15"/>
  <c r="Q39" i="15" s="1"/>
  <c r="O36" i="15"/>
  <c r="L33" i="15"/>
  <c r="L32" i="15" s="1"/>
  <c r="L35" i="15"/>
  <c r="M35" i="15" s="1"/>
  <c r="O39" i="15"/>
  <c r="O38" i="15" s="1"/>
  <c r="L38" i="15"/>
  <c r="M36" i="15"/>
  <c r="Q36" i="15" s="1"/>
  <c r="K33" i="15"/>
  <c r="T41" i="15"/>
  <c r="L78" i="14"/>
  <c r="J78" i="14"/>
  <c r="S76" i="7"/>
  <c r="Q35" i="15" l="1"/>
  <c r="P36" i="15"/>
  <c r="U36" i="15"/>
  <c r="L107" i="15"/>
  <c r="L108" i="15"/>
  <c r="L109" i="15" s="1"/>
  <c r="P39" i="15"/>
  <c r="U39" i="15"/>
  <c r="Q38" i="15"/>
  <c r="K32" i="15"/>
  <c r="M33" i="15"/>
  <c r="O35" i="15"/>
  <c r="O33" i="15"/>
  <c r="M38" i="15"/>
  <c r="N98" i="7"/>
  <c r="N95" i="7" s="1"/>
  <c r="O32" i="15" l="1"/>
  <c r="P38" i="15"/>
  <c r="S39" i="15"/>
  <c r="S38" i="15" s="1"/>
  <c r="P35" i="15"/>
  <c r="P33" i="15"/>
  <c r="P32" i="15" s="1"/>
  <c r="S36" i="15"/>
  <c r="M32" i="15"/>
  <c r="K108" i="15"/>
  <c r="K109" i="15" s="1"/>
  <c r="K107" i="15"/>
  <c r="U38" i="15"/>
  <c r="T39" i="15"/>
  <c r="T38" i="15" s="1"/>
  <c r="O119" i="15"/>
  <c r="T36" i="15"/>
  <c r="U33" i="15"/>
  <c r="U32" i="15" s="1"/>
  <c r="U35" i="15"/>
  <c r="T35" i="15" l="1"/>
  <c r="T33" i="15"/>
  <c r="T32" i="15" s="1"/>
  <c r="L111" i="15"/>
  <c r="K110" i="15"/>
  <c r="S33" i="15"/>
  <c r="S32" i="15" s="1"/>
  <c r="S35" i="15"/>
  <c r="O107" i="15"/>
  <c r="O108" i="15"/>
  <c r="O109" i="15" s="1"/>
  <c r="O110" i="15" s="1"/>
  <c r="L110" i="15"/>
  <c r="M107" i="15"/>
  <c r="M108" i="15"/>
  <c r="Q33" i="15"/>
  <c r="Q32" i="15" s="1"/>
  <c r="S20" i="7"/>
  <c r="S19" i="7" s="1"/>
  <c r="S25" i="7"/>
  <c r="M109" i="15" l="1"/>
  <c r="L119" i="15"/>
  <c r="N25" i="7"/>
  <c r="N19" i="7"/>
  <c r="N20" i="7"/>
  <c r="S98" i="7"/>
  <c r="S95" i="7" s="1"/>
  <c r="S18" i="7"/>
  <c r="N18" i="7" l="1"/>
  <c r="M119" i="15"/>
  <c r="L120" i="15"/>
  <c r="Q48" i="15" l="1"/>
  <c r="Q92" i="15" s="1"/>
  <c r="Q100" i="15" s="1"/>
  <c r="Q53" i="15"/>
  <c r="Q49" i="15" s="1"/>
  <c r="Q75" i="15"/>
  <c r="Q68" i="15" s="1"/>
  <c r="Q47" i="15"/>
  <c r="P47" i="15" s="1"/>
  <c r="Q63" i="15"/>
  <c r="Q57" i="15" s="1"/>
  <c r="O60" i="7"/>
  <c r="Q54" i="15"/>
  <c r="P54" i="15" s="1"/>
  <c r="S54" i="15" s="1"/>
  <c r="P75" i="15"/>
  <c r="P68" i="15" s="1"/>
  <c r="O65" i="7" l="1"/>
  <c r="O72" i="7"/>
  <c r="O51" i="7"/>
  <c r="O44" i="7"/>
  <c r="O43" i="7"/>
  <c r="P63" i="15"/>
  <c r="P57" i="15" s="1"/>
  <c r="U63" i="15"/>
  <c r="U57" i="15" s="1"/>
  <c r="Q52" i="15"/>
  <c r="P48" i="15"/>
  <c r="P92" i="15" s="1"/>
  <c r="P100" i="15" s="1"/>
  <c r="Q76" i="15"/>
  <c r="Q107" i="15" s="1"/>
  <c r="O54" i="7"/>
  <c r="S47" i="15"/>
  <c r="Q93" i="15"/>
  <c r="P49" i="15"/>
  <c r="U47" i="15"/>
  <c r="N40" i="7"/>
  <c r="S34" i="7"/>
  <c r="O89" i="7" l="1"/>
  <c r="O45" i="7"/>
  <c r="N33" i="7"/>
  <c r="N36" i="7"/>
  <c r="S89" i="7"/>
  <c r="P76" i="15"/>
  <c r="P108" i="15" s="1"/>
  <c r="S63" i="15"/>
  <c r="S57" i="15" s="1"/>
  <c r="P52" i="15"/>
  <c r="S52" i="15" s="1"/>
  <c r="S48" i="15" s="1"/>
  <c r="S92" i="15" s="1"/>
  <c r="S100" i="15" s="1"/>
  <c r="Q108" i="15"/>
  <c r="Q109" i="15" s="1"/>
  <c r="P53" i="15"/>
  <c r="S53" i="15" s="1"/>
  <c r="S49" i="15" s="1"/>
  <c r="S93" i="15" s="1"/>
  <c r="P93" i="15"/>
  <c r="P107" i="15"/>
  <c r="T47" i="15"/>
  <c r="N39" i="7"/>
  <c r="S36" i="7" l="1"/>
  <c r="O36" i="7"/>
  <c r="N35" i="7"/>
  <c r="N31" i="7"/>
  <c r="O33" i="7"/>
  <c r="T63" i="15"/>
  <c r="T57" i="15" s="1"/>
  <c r="S76" i="15"/>
  <c r="S108" i="15" s="1"/>
  <c r="S109" i="15" s="1"/>
  <c r="P119" i="15"/>
  <c r="P120" i="15" s="1"/>
  <c r="P125" i="15"/>
  <c r="P109" i="15"/>
  <c r="S40" i="7"/>
  <c r="S39" i="7" s="1"/>
  <c r="O35" i="7" l="1"/>
  <c r="S35" i="7"/>
  <c r="Q119" i="15"/>
  <c r="S107" i="15"/>
  <c r="S119" i="15"/>
  <c r="P110" i="15"/>
  <c r="S110" i="15"/>
  <c r="U54" i="15" l="1"/>
  <c r="T54" i="15" s="1"/>
  <c r="U53" i="15"/>
  <c r="U49" i="15" s="1"/>
  <c r="U52" i="15"/>
  <c r="U48" i="15" s="1"/>
  <c r="U93" i="15" l="1"/>
  <c r="T49" i="15"/>
  <c r="U92" i="15"/>
  <c r="U100" i="15" s="1"/>
  <c r="T48" i="15"/>
  <c r="U76" i="15"/>
  <c r="U108" i="15" l="1"/>
  <c r="U107" i="15"/>
  <c r="T92" i="15"/>
  <c r="T100" i="15" s="1"/>
  <c r="T52" i="15"/>
  <c r="T76" i="15"/>
  <c r="T93" i="15"/>
  <c r="T53" i="15"/>
  <c r="U109" i="15" l="1"/>
  <c r="T119" i="15"/>
  <c r="T107" i="15"/>
  <c r="T108" i="15"/>
  <c r="T109" i="15" s="1"/>
  <c r="T110" i="15" s="1"/>
  <c r="U119" i="15" l="1"/>
  <c r="T120" i="15"/>
  <c r="N90" i="7" l="1"/>
  <c r="O32" i="7"/>
  <c r="N32" i="7"/>
  <c r="O90" i="7" l="1"/>
  <c r="O46" i="7"/>
  <c r="O30" i="7"/>
  <c r="O31" i="7"/>
  <c r="S90" i="7"/>
  <c r="S33" i="7"/>
  <c r="N30" i="7"/>
  <c r="S32" i="7" l="1"/>
  <c r="S31" i="7"/>
  <c r="S30" i="7" s="1"/>
  <c r="N97" i="7" l="1"/>
  <c r="N104" i="7" s="1"/>
  <c r="S97" i="7"/>
  <c r="N105" i="7" l="1"/>
  <c r="N106" i="7" s="1"/>
  <c r="S105" i="7"/>
  <c r="S104" i="7"/>
  <c r="S106" i="7" l="1"/>
  <c r="O73" i="7"/>
  <c r="L105" i="7" l="1"/>
  <c r="L104" i="7"/>
  <c r="M104" i="7" l="1"/>
  <c r="O104" i="7" s="1"/>
  <c r="O97" i="7"/>
  <c r="O49" i="7"/>
  <c r="L106" i="7"/>
  <c r="M105" i="7"/>
  <c r="O105" i="7" s="1"/>
  <c r="L107" i="7" l="1"/>
  <c r="M106" i="7"/>
  <c r="O106" i="7" s="1"/>
  <c r="M107" i="7" l="1"/>
  <c r="Q105" i="7"/>
  <c r="Q106" i="7" s="1"/>
  <c r="Q107" i="7" s="1"/>
  <c r="Q104" i="7"/>
  <c r="R105" i="7" l="1"/>
  <c r="R104" i="7"/>
  <c r="R106" i="7" l="1"/>
  <c r="O50" i="7"/>
  <c r="R107" i="7" l="1"/>
</calcChain>
</file>

<file path=xl/comments1.xml><?xml version="1.0" encoding="utf-8"?>
<comments xmlns="http://schemas.openxmlformats.org/spreadsheetml/2006/main">
  <authors>
    <author xml:space="preserve"> Малюта</author>
  </authors>
  <commentList>
    <comment ref="I124" authorId="0">
      <text>
        <r>
          <rPr>
            <b/>
            <sz val="9"/>
            <color indexed="81"/>
            <rFont val="Tahoma"/>
            <charset val="1"/>
          </rPr>
          <t xml:space="preserve"> Малюта:</t>
        </r>
        <r>
          <rPr>
            <sz val="9"/>
            <color indexed="81"/>
            <rFont val="Tahoma"/>
            <charset val="1"/>
          </rPr>
          <t xml:space="preserve">
срок действия договора на отпуск холодной воды с ООО Шанс прекращается 31.12.2014. Пролонгация не предусмотрена</t>
        </r>
      </text>
    </comment>
    <comment ref="H14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Малюта:</t>
        </r>
        <r>
          <rPr>
            <sz val="9"/>
            <color indexed="81"/>
            <rFont val="Tahoma"/>
            <family val="2"/>
            <charset val="204"/>
          </rPr>
          <t xml:space="preserve">
установка ХВП отсутствует</t>
        </r>
      </text>
    </comment>
  </commentList>
</comments>
</file>

<file path=xl/comments2.xml><?xml version="1.0" encoding="utf-8"?>
<comments xmlns="http://schemas.openxmlformats.org/spreadsheetml/2006/main">
  <authors>
    <author>Еремеева</author>
  </authors>
  <commentList>
    <comment ref="I14" authorId="0">
      <text>
        <r>
          <rPr>
            <b/>
            <sz val="8"/>
            <color indexed="81"/>
            <rFont val="Tahoma"/>
            <family val="2"/>
            <charset val="204"/>
          </rPr>
          <t>Еремеева:</t>
        </r>
        <r>
          <rPr>
            <sz val="8"/>
            <color indexed="81"/>
            <rFont val="Tahoma"/>
            <family val="2"/>
            <charset val="204"/>
          </rPr>
          <t xml:space="preserve">
показаний счетчика за год нет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204"/>
          </rPr>
          <t>Еремеева:</t>
        </r>
        <r>
          <rPr>
            <sz val="8"/>
            <color indexed="81"/>
            <rFont val="Tahoma"/>
            <family val="2"/>
            <charset val="204"/>
          </rPr>
          <t xml:space="preserve">
не отапливают баню</t>
        </r>
      </text>
    </comment>
    <comment ref="I16" authorId="0">
      <text>
        <r>
          <rPr>
            <b/>
            <sz val="8"/>
            <color indexed="81"/>
            <rFont val="Tahoma"/>
            <family val="2"/>
            <charset val="204"/>
          </rPr>
          <t>Еремеева:</t>
        </r>
        <r>
          <rPr>
            <sz val="8"/>
            <color indexed="81"/>
            <rFont val="Tahoma"/>
            <family val="2"/>
            <charset val="204"/>
          </rPr>
          <t xml:space="preserve">
не отапливают баню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04"/>
          </rPr>
          <t>Еремеева:</t>
        </r>
        <r>
          <rPr>
            <sz val="8"/>
            <color indexed="81"/>
            <rFont val="Tahoma"/>
            <family val="2"/>
            <charset val="204"/>
          </rPr>
          <t xml:space="preserve">
паспорта качества из папки за прошлый год</t>
        </r>
      </text>
    </comment>
    <comment ref="I30" authorId="0">
      <text>
        <r>
          <rPr>
            <b/>
            <sz val="8"/>
            <color indexed="81"/>
            <rFont val="Tahoma"/>
            <family val="2"/>
            <charset val="204"/>
          </rPr>
          <t>Еремеева:</t>
        </r>
        <r>
          <rPr>
            <sz val="8"/>
            <color indexed="81"/>
            <rFont val="Tahoma"/>
            <family val="2"/>
            <charset val="204"/>
          </rPr>
          <t xml:space="preserve">
паспорта качества из папки за прошлый год</t>
        </r>
      </text>
    </comment>
    <comment ref="F88" authorId="0">
      <text>
        <r>
          <rPr>
            <b/>
            <sz val="8"/>
            <color indexed="81"/>
            <rFont val="Tahoma"/>
            <family val="2"/>
            <charset val="204"/>
          </rPr>
          <t>Еремеева:</t>
        </r>
        <r>
          <rPr>
            <sz val="8"/>
            <color indexed="81"/>
            <rFont val="Tahoma"/>
            <family val="2"/>
            <charset val="204"/>
          </rPr>
          <t xml:space="preserve">
увеличение доли нерегулируемого рынка 15%</t>
        </r>
      </text>
    </comment>
    <comment ref="I88" authorId="0">
      <text>
        <r>
          <rPr>
            <b/>
            <sz val="8"/>
            <color indexed="81"/>
            <rFont val="Tahoma"/>
            <family val="2"/>
            <charset val="204"/>
          </rPr>
          <t>Еремеева:</t>
        </r>
        <r>
          <rPr>
            <sz val="8"/>
            <color indexed="81"/>
            <rFont val="Tahoma"/>
            <family val="2"/>
            <charset val="204"/>
          </rPr>
          <t xml:space="preserve">
увеличение доли нерегулируемого рынка 15%</t>
        </r>
      </text>
    </comment>
  </commentList>
</comments>
</file>

<file path=xl/sharedStrings.xml><?xml version="1.0" encoding="utf-8"?>
<sst xmlns="http://schemas.openxmlformats.org/spreadsheetml/2006/main" count="981" uniqueCount="340">
  <si>
    <t>№ п/п</t>
  </si>
  <si>
    <t>Показатели</t>
  </si>
  <si>
    <t>Ед.изм.</t>
  </si>
  <si>
    <t>Количество котельных</t>
  </si>
  <si>
    <t>Гкал</t>
  </si>
  <si>
    <t>Полезный отпуск</t>
  </si>
  <si>
    <t xml:space="preserve"> -"-</t>
  </si>
  <si>
    <t>Полезный отпуск на потребительский рынок</t>
  </si>
  <si>
    <t xml:space="preserve">     - жилищные организации</t>
  </si>
  <si>
    <t xml:space="preserve">     - бюджетные организации</t>
  </si>
  <si>
    <t xml:space="preserve">     - прочие потребители </t>
  </si>
  <si>
    <t xml:space="preserve">     - производственные нужды</t>
  </si>
  <si>
    <t>Потери, всего</t>
  </si>
  <si>
    <t xml:space="preserve">     - на собственные нужды котельной</t>
  </si>
  <si>
    <t xml:space="preserve">     - в тепловых сетях </t>
  </si>
  <si>
    <t>Расходы на приобретение (производство) энергетических ресурсов, холодной воды и теплоносителя (данные согласно реестру приложения 5.4 Методических указаний)</t>
  </si>
  <si>
    <t xml:space="preserve"> 1.1</t>
  </si>
  <si>
    <t xml:space="preserve">Расходы на топливо, всего: </t>
  </si>
  <si>
    <t>т.р.</t>
  </si>
  <si>
    <t xml:space="preserve">  в т.ч.   - уголь каменный </t>
  </si>
  <si>
    <t xml:space="preserve">              - мазут</t>
  </si>
  <si>
    <t xml:space="preserve"> в т.ч. натуральное топливо</t>
  </si>
  <si>
    <t xml:space="preserve">              - уголь каменный </t>
  </si>
  <si>
    <t xml:space="preserve"> в т.ч. транспорт топлива</t>
  </si>
  <si>
    <t xml:space="preserve"> 1.2</t>
  </si>
  <si>
    <t>Расходы на электрическую энергию</t>
  </si>
  <si>
    <t xml:space="preserve"> 1.3</t>
  </si>
  <si>
    <t>м3</t>
  </si>
  <si>
    <t>Определение операционных (подконтрольных) расходов ( базовый уровень согласно приложению 5.1 метод.указаний)</t>
  </si>
  <si>
    <t>Расходы на сырьё и материалы ( в.т.ч.канцтовары)</t>
  </si>
  <si>
    <t>Расходы на ремонт основных средств</t>
  </si>
  <si>
    <t>Расходы на оплату труда, всего</t>
  </si>
  <si>
    <t>чел.</t>
  </si>
  <si>
    <t>руб./чел.</t>
  </si>
  <si>
    <t xml:space="preserve"> средняя зарплата ППП</t>
  </si>
  <si>
    <t xml:space="preserve"> Расходы на выполнение работ и услуг производственного</t>
  </si>
  <si>
    <t xml:space="preserve"> характера, выполн-й по договорам со сторонними организациями,</t>
  </si>
  <si>
    <t xml:space="preserve"> услуги собственных подразделений предпр-я, общехозяйственные</t>
  </si>
  <si>
    <t xml:space="preserve"> Расходы на оплату иных работ и услуг, выполняемых по договорам</t>
  </si>
  <si>
    <t xml:space="preserve"> с организациями, включая:</t>
  </si>
  <si>
    <t>5.1</t>
  </si>
  <si>
    <t xml:space="preserve"> - расходы на оплату услуг связи</t>
  </si>
  <si>
    <t>5.2</t>
  </si>
  <si>
    <t xml:space="preserve"> - расходы на оплату услуг охраны</t>
  </si>
  <si>
    <t>5.3</t>
  </si>
  <si>
    <t xml:space="preserve"> - расходы на оплату информационных, юридических, аудиторских услуг</t>
  </si>
  <si>
    <t>5.4</t>
  </si>
  <si>
    <t xml:space="preserve"> - расходы на охрану труда</t>
  </si>
  <si>
    <t>5.5</t>
  </si>
  <si>
    <t xml:space="preserve"> - расходы на оплату других работ и услуг </t>
  </si>
  <si>
    <t>6</t>
  </si>
  <si>
    <t xml:space="preserve"> Расходы на служебные командировки</t>
  </si>
  <si>
    <t>7</t>
  </si>
  <si>
    <t xml:space="preserve"> Расходы на обучение персонала</t>
  </si>
  <si>
    <t>8</t>
  </si>
  <si>
    <t xml:space="preserve"> Лизинговый платёж</t>
  </si>
  <si>
    <t>9</t>
  </si>
  <si>
    <t xml:space="preserve"> Арендная плата</t>
  </si>
  <si>
    <t>10</t>
  </si>
  <si>
    <t xml:space="preserve"> Другие расходы, в т.ч.:</t>
  </si>
  <si>
    <t xml:space="preserve"> 10.1</t>
  </si>
  <si>
    <t xml:space="preserve"> 10.2</t>
  </si>
  <si>
    <t xml:space="preserve"> 10.2.1</t>
  </si>
  <si>
    <t xml:space="preserve"> 10.2.2</t>
  </si>
  <si>
    <t xml:space="preserve"> 10.3</t>
  </si>
  <si>
    <t xml:space="preserve"> 10.4</t>
  </si>
  <si>
    <t>ИТОГО базовый уровень операционных расходов</t>
  </si>
  <si>
    <t>Неподконтрольные расходы (данные согласно реестру Приложения 5.3 Методических указаний)</t>
  </si>
  <si>
    <t>Очистка стоков, канализация</t>
  </si>
  <si>
    <t xml:space="preserve"> Арендная плата, в т.ч.</t>
  </si>
  <si>
    <t xml:space="preserve"> 12.1</t>
  </si>
  <si>
    <t xml:space="preserve"> - аренда имущества КУМИ</t>
  </si>
  <si>
    <t xml:space="preserve"> 12.2</t>
  </si>
  <si>
    <t xml:space="preserve"> - аренда земли</t>
  </si>
  <si>
    <t xml:space="preserve"> 12.3</t>
  </si>
  <si>
    <t xml:space="preserve"> - аренда прочего имущества </t>
  </si>
  <si>
    <t xml:space="preserve"> Концессионная плата</t>
  </si>
  <si>
    <t>Расходы на оплату налогов, сборов и других обязательных платежей, в т.ч.</t>
  </si>
  <si>
    <t xml:space="preserve"> 14.1</t>
  </si>
  <si>
    <t xml:space="preserve"> - плата за выбросы и сбросы загрязняющих веществ в окружающую среду, </t>
  </si>
  <si>
    <t xml:space="preserve">   размещение отходов и другие виды негативного воздействия на окр.среду</t>
  </si>
  <si>
    <t xml:space="preserve"> 14.2</t>
  </si>
  <si>
    <t xml:space="preserve"> - расходы на обязательное страхование</t>
  </si>
  <si>
    <t xml:space="preserve"> 14.3</t>
  </si>
  <si>
    <t xml:space="preserve"> - налог на имущество организации</t>
  </si>
  <si>
    <t xml:space="preserve"> 14.4</t>
  </si>
  <si>
    <t xml:space="preserve"> - налог на загрязнение окружающей среды</t>
  </si>
  <si>
    <t xml:space="preserve"> 14.5</t>
  </si>
  <si>
    <t xml:space="preserve"> - земельный налог</t>
  </si>
  <si>
    <t xml:space="preserve"> 14.6</t>
  </si>
  <si>
    <t xml:space="preserve"> -транспортный налог</t>
  </si>
  <si>
    <t xml:space="preserve"> Отчисления на социальные нужды, в т.ч.:</t>
  </si>
  <si>
    <t xml:space="preserve"> 15.1</t>
  </si>
  <si>
    <t xml:space="preserve"> - отчисления ППП</t>
  </si>
  <si>
    <t xml:space="preserve"> Расходы по сомнительным долгам</t>
  </si>
  <si>
    <t xml:space="preserve"> Амортизация основных средств и нематериальных активов</t>
  </si>
  <si>
    <t xml:space="preserve"> Расходы на выплаты по договорам займа и кредитным договорам</t>
  </si>
  <si>
    <t xml:space="preserve"> Расходы, связанные с созданием нормативных запасов топлива</t>
  </si>
  <si>
    <t xml:space="preserve"> Расходы, связанные с подключением объектов заявителей</t>
  </si>
  <si>
    <t xml:space="preserve"> Инвестиционная программа</t>
  </si>
  <si>
    <t xml:space="preserve"> Плата за выбросы и сбросы загрязняющих веществ (сверх нормативов) </t>
  </si>
  <si>
    <t xml:space="preserve"> Прочие расходы по прибыли</t>
  </si>
  <si>
    <t xml:space="preserve"> Налог на прибыль</t>
  </si>
  <si>
    <t xml:space="preserve"> Выпадающие доходы/экономия средств</t>
  </si>
  <si>
    <t xml:space="preserve"> ИТОГО (неподконтрольные расходы)</t>
  </si>
  <si>
    <t xml:space="preserve"> Необходимая валовая выручка, всего</t>
  </si>
  <si>
    <t xml:space="preserve"> в том числе на потребительский рынок</t>
  </si>
  <si>
    <t xml:space="preserve"> Тариф на тепловую энергию </t>
  </si>
  <si>
    <t xml:space="preserve"> Рост тарифа на тепловую энергию</t>
  </si>
  <si>
    <t>Ед. изм.</t>
  </si>
  <si>
    <t>Производство и отпуск тепловой энергии</t>
  </si>
  <si>
    <t>шт.</t>
  </si>
  <si>
    <t>В том числе мощностью, Гкал/ч:</t>
  </si>
  <si>
    <t xml:space="preserve"> -до 3,00</t>
  </si>
  <si>
    <t xml:space="preserve"> -от 3,00 до  20,00</t>
  </si>
  <si>
    <t xml:space="preserve"> -от 20,00 до  100,00</t>
  </si>
  <si>
    <t>Нормативная выработка</t>
  </si>
  <si>
    <t>Отпуск жилищным организациям</t>
  </si>
  <si>
    <t>Отпуск иным потребителям</t>
  </si>
  <si>
    <t>Отпуск на производственные нужды</t>
  </si>
  <si>
    <t>Отпуск на потребительский рынок</t>
  </si>
  <si>
    <t>Расход на собственные нужды</t>
  </si>
  <si>
    <t>Потери в сетях предприятия</t>
  </si>
  <si>
    <t>тыс. руб.</t>
  </si>
  <si>
    <t>Топливо</t>
  </si>
  <si>
    <t>Удельный расход условного топлива, в т.ч.</t>
  </si>
  <si>
    <t>кг у.т./Гкал</t>
  </si>
  <si>
    <t>- уголь каменный</t>
  </si>
  <si>
    <t>- уголь бурый</t>
  </si>
  <si>
    <t>- мазут топочный</t>
  </si>
  <si>
    <t>- природный газ</t>
  </si>
  <si>
    <t>- коксовый газ</t>
  </si>
  <si>
    <t>- доменный газ</t>
  </si>
  <si>
    <t>Тепловой эквивалент</t>
  </si>
  <si>
    <t>Удельный расход натурального топлива, в т. ч.</t>
  </si>
  <si>
    <t>кг/Гкал</t>
  </si>
  <si>
    <t>-уголь каменный</t>
  </si>
  <si>
    <t>-уголь бурый</t>
  </si>
  <si>
    <t>м3/Гкал</t>
  </si>
  <si>
    <t>Расход натурального топлива, всего, в т. ч.</t>
  </si>
  <si>
    <t>т</t>
  </si>
  <si>
    <t>тн</t>
  </si>
  <si>
    <t>тыс. м3</t>
  </si>
  <si>
    <t>Естественная убыль натурального топлива, всего, в т. ч.</t>
  </si>
  <si>
    <t>%</t>
  </si>
  <si>
    <t>-при хранении на складе, перегрузке и подаче в котельную</t>
  </si>
  <si>
    <t>Расход натурального топлива с учётом естественной убыли и потерь, всего, в т. ч.</t>
  </si>
  <si>
    <t>руб./т</t>
  </si>
  <si>
    <t>руб/тн</t>
  </si>
  <si>
    <t>руб/т</t>
  </si>
  <si>
    <t>руб./т.м3</t>
  </si>
  <si>
    <t>руб/т.м3</t>
  </si>
  <si>
    <t>Стоимость топлива, всего, в т.ч.</t>
  </si>
  <si>
    <t>автомобильные перевозки</t>
  </si>
  <si>
    <t>сжатый воздух на распыление мазута</t>
  </si>
  <si>
    <t>погрузка, разгрузка, услуги тракт. парка</t>
  </si>
  <si>
    <t>Размер платы за снабженческо-сбытовые услуги по поставке газа</t>
  </si>
  <si>
    <t>Плата за снабженческо-сбытовые услуги по поставке газа</t>
  </si>
  <si>
    <t>Транспортировка газа</t>
  </si>
  <si>
    <t>Общая стоимость топлива с расходами по транспортировке</t>
  </si>
  <si>
    <t>Электроэнергия</t>
  </si>
  <si>
    <t>Общий расход электроэнергии, в т.ч.:</t>
  </si>
  <si>
    <t>тыс. кВт*ч</t>
  </si>
  <si>
    <t xml:space="preserve"> -по высокому напряжению</t>
  </si>
  <si>
    <t xml:space="preserve"> -по низкому напряжению</t>
  </si>
  <si>
    <t>Средневзвешенный тариф за 1 кВт*ч потреблен.эл.энергии, в т.ч.:</t>
  </si>
  <si>
    <t>руб.</t>
  </si>
  <si>
    <t xml:space="preserve"> -по СН I</t>
  </si>
  <si>
    <t xml:space="preserve"> -по СН II</t>
  </si>
  <si>
    <t>Заявленная мощность, всего, в т.ч.:</t>
  </si>
  <si>
    <t>кВт</t>
  </si>
  <si>
    <t>Удельный расход</t>
  </si>
  <si>
    <t>кВт*ч/Гкал</t>
  </si>
  <si>
    <t>Стоимость электроэнергии</t>
  </si>
  <si>
    <t>Вода и канализация</t>
  </si>
  <si>
    <t>Общее количество воды, всего, в т.ч.:</t>
  </si>
  <si>
    <t>руб./м3</t>
  </si>
  <si>
    <t>Стоимость воды и канализации</t>
  </si>
  <si>
    <t>Общий расход реагентов, в т. ч.:</t>
  </si>
  <si>
    <t xml:space="preserve"> -соль техническая</t>
  </si>
  <si>
    <t xml:space="preserve"> -кислота серная</t>
  </si>
  <si>
    <t>Стоимость реагентов:</t>
  </si>
  <si>
    <t>Стоимость реагентов, всего</t>
  </si>
  <si>
    <t>руб/м3</t>
  </si>
  <si>
    <t xml:space="preserve"> в том числе ППП</t>
  </si>
  <si>
    <t xml:space="preserve">  численность, всего </t>
  </si>
  <si>
    <t xml:space="preserve">  в том числе ППП</t>
  </si>
  <si>
    <t>всего</t>
  </si>
  <si>
    <t xml:space="preserve"> Прибыль</t>
  </si>
  <si>
    <t xml:space="preserve"> Выплаты социального характера</t>
  </si>
  <si>
    <t>Плановые физические показатели ЗАО "Тяжинское ДРСУ" (п.г.т. Тяжинский)</t>
  </si>
  <si>
    <t>Утверждено РЭК КО с 01.09.2012</t>
  </si>
  <si>
    <t>предложение предприятия</t>
  </si>
  <si>
    <t>с 01.07.2012 г.</t>
  </si>
  <si>
    <t>Отпуск бюджетным потребителям</t>
  </si>
  <si>
    <t>-при автомобильных перевозках перевозках</t>
  </si>
  <si>
    <t>Цена  натурального топлива с учетом ж/д тарифа</t>
  </si>
  <si>
    <t>Стоимость расходов по транспортировке, всего, в т.ч.:</t>
  </si>
  <si>
    <t>агентское вознаграждение (1,5 % от стоимости провозных платежей)</t>
  </si>
  <si>
    <t>Средневзвешенный тариф за 1 кВт заявленой мощности, в т.ч.:</t>
  </si>
  <si>
    <t>Плата за передачу 1 кВт*ч электроэнергии</t>
  </si>
  <si>
    <t>Средний тариф 1 кВт*ч</t>
  </si>
  <si>
    <t xml:space="preserve"> -МУП "Беловский водоканал"</t>
  </si>
  <si>
    <t xml:space="preserve"> -собственный подъём</t>
  </si>
  <si>
    <t>Общее количество стоков, всего</t>
  </si>
  <si>
    <t>Тариф на воду МУП "Беловский водоканал"</t>
  </si>
  <si>
    <t>Себестоимость воды</t>
  </si>
  <si>
    <t>Тариф на стоки ООО "Сервис Услуги"</t>
  </si>
  <si>
    <t>нет данных</t>
  </si>
  <si>
    <t xml:space="preserve"> -катионит КУ -2/8</t>
  </si>
  <si>
    <t xml:space="preserve">Утверждено РЭК КО на второе полугодие 2015 г. </t>
  </si>
  <si>
    <t>Предложения предприятия на 2016</t>
  </si>
  <si>
    <t>1 полугодие 2016 года</t>
  </si>
  <si>
    <t>2 полугодие 2016 года</t>
  </si>
  <si>
    <t>Утверждено с 01.07.2015 г.</t>
  </si>
  <si>
    <t>Предложение экспертов на 2016 год</t>
  </si>
  <si>
    <t>Нормативная выработка т/энергии</t>
  </si>
  <si>
    <t xml:space="preserve">  - объём воды для теплоснабжения (справочно)</t>
  </si>
  <si>
    <t xml:space="preserve">  - цена воды для теплоснабжения (справочно)</t>
  </si>
  <si>
    <t>с 01.01.2016 г.</t>
  </si>
  <si>
    <t>с 01.07.2016 г.</t>
  </si>
  <si>
    <t>Расходы на воду</t>
  </si>
  <si>
    <t>Утверждено с 01.01.2015 г.</t>
  </si>
  <si>
    <t>В среднем за 2016 год</t>
  </si>
  <si>
    <t>В среднем за 2015 год</t>
  </si>
  <si>
    <t xml:space="preserve">Предложение предприятия на 2016 год </t>
  </si>
  <si>
    <t>спец. питание, спе. одежда</t>
  </si>
  <si>
    <t>с 01.01.2017 г.</t>
  </si>
  <si>
    <t>с 01.07.2017 г.</t>
  </si>
  <si>
    <t>В среднем за 2017 год</t>
  </si>
  <si>
    <t>Предложение экспертов на 2017 год</t>
  </si>
  <si>
    <t xml:space="preserve">Предложение предприятия на 2017 год </t>
  </si>
  <si>
    <t xml:space="preserve">Предложение предприятия на 2018 год </t>
  </si>
  <si>
    <t>Предложение экспертов на 2018 год</t>
  </si>
  <si>
    <t>с 01.01.2018 г.</t>
  </si>
  <si>
    <t>с 01.07.2018 г.</t>
  </si>
  <si>
    <t>В среднем за 2018 год</t>
  </si>
  <si>
    <t>НВВ</t>
  </si>
  <si>
    <t xml:space="preserve">Утверждено на 2014 год </t>
  </si>
  <si>
    <t>Отклонение, +/-</t>
  </si>
  <si>
    <t>Плановые и фактические показатели</t>
  </si>
  <si>
    <t>по производству и реализации тепловой энергии ЗАО "Тяжинское ДРСУ"  (п.г.т. Тяжинский) за 2014 год</t>
  </si>
  <si>
    <t xml:space="preserve">Факт 2014 года </t>
  </si>
  <si>
    <t>При анализе фактических расходов предприятия за 2014 год по сравнению с плановыми величинами экспертами выявлено перевыполнение по статьям расходов на общую сумму 1133,00 тыс. руб. Перевыполнение статей расходов осуществлено за счет основного вида деятельности - строительство, ремонт и содержание автомобильных дорог. Предприятие не заявило выпадающих доходов, в связи с этим экспертами данные расходы не учтены в НВВ 2016 года. Неисполнения по статьям расходов не выявлено.</t>
  </si>
  <si>
    <t xml:space="preserve">Приложение № 3                                                                                                                                                      к экспертному заключению                                                                                                                                 ОАО "Агентство энергетических экспертиз"                                                                                                  " от " __ " ________ 2015 г. </t>
  </si>
  <si>
    <t xml:space="preserve">  в т.ч.   - газ природный</t>
  </si>
  <si>
    <t xml:space="preserve">              - газ природный</t>
  </si>
  <si>
    <t xml:space="preserve">              - газ природный </t>
  </si>
  <si>
    <t>спец. питание, спе. Одежда,. Общехозяйственные</t>
  </si>
  <si>
    <t xml:space="preserve"> Налог на прибыль (налог по УСН)</t>
  </si>
  <si>
    <t>Предложения предприятия на 2016 г.</t>
  </si>
  <si>
    <t>Покупная теплоэнергия</t>
  </si>
  <si>
    <t>Отпуск жилищным</t>
  </si>
  <si>
    <t>Отпуск бюджетным</t>
  </si>
  <si>
    <t>Отпуск иным организациям</t>
  </si>
  <si>
    <t>Поставщик</t>
  </si>
  <si>
    <t>Объём покупки</t>
  </si>
  <si>
    <t>Средневзвешенный тариф покупки</t>
  </si>
  <si>
    <t>руб./Гкал</t>
  </si>
  <si>
    <t>Стоимость</t>
  </si>
  <si>
    <t>Естественная убыль натурального топлива, в т. ч.</t>
  </si>
  <si>
    <t>-при автомобильных перевозках</t>
  </si>
  <si>
    <t xml:space="preserve">    -при хранении на складе, перегрузке и подаче в котельную</t>
  </si>
  <si>
    <t>- расход топлива в связи с перерасходом тепловой энергии для обеспечения безопасности горячего водоснабжения потребителей</t>
  </si>
  <si>
    <t>- расход топлива в результате технологической схемы предприятия, для обеспечения безопасности потребителей горячей воды</t>
  </si>
  <si>
    <t>Цена  натурального топлива</t>
  </si>
  <si>
    <t>Стоимость расходов по транспортировке, в т.ч.:</t>
  </si>
  <si>
    <t>железнодорожные перевозки</t>
  </si>
  <si>
    <t>Общее количество стоков, всего, в т. ч.:</t>
  </si>
  <si>
    <t xml:space="preserve"> -катионит КУ -2</t>
  </si>
  <si>
    <t>- химические реактивы, хим. Посуда</t>
  </si>
  <si>
    <t xml:space="preserve">тепло </t>
  </si>
  <si>
    <t>гвс</t>
  </si>
  <si>
    <t xml:space="preserve">Приложение № 4                                                                                            к экспертному заключению                                          ОАО "Агентство энергетических экспертиз                     " от " __ " ________ 2015 г. </t>
  </si>
  <si>
    <t>Приложение 5.2</t>
  </si>
  <si>
    <t>Расчет операционных (подконтрольных) расходов
на каждый год долгосрочного периода регулирования</t>
  </si>
  <si>
    <t>№
п. п.</t>
  </si>
  <si>
    <t>Параметры расчета расходов</t>
  </si>
  <si>
    <t>Единица измерения</t>
  </si>
  <si>
    <t>Долгосрочный период
регулирования</t>
  </si>
  <si>
    <t>n</t>
  </si>
  <si>
    <t>1</t>
  </si>
  <si>
    <t>Индекс потребительских цен на расчетный период регулирования (ИПЦ)</t>
  </si>
  <si>
    <t>2</t>
  </si>
  <si>
    <t>Индекс эффективности операционных расходов (ИР)</t>
  </si>
  <si>
    <t>3</t>
  </si>
  <si>
    <t>Индекс изменения количества активов (ИКА)</t>
  </si>
  <si>
    <t>3.1</t>
  </si>
  <si>
    <t>количество условных единиц, относящихся к активам, необходимым
для осуществления регулируемой деятельности</t>
  </si>
  <si>
    <t>у.е.</t>
  </si>
  <si>
    <t>3.2</t>
  </si>
  <si>
    <t>установленная тепловая мощность источника тепловой энергии</t>
  </si>
  <si>
    <t>Гкал/ч</t>
  </si>
  <si>
    <t>4</t>
  </si>
  <si>
    <r>
      <t>Коэффициент эластичности затрат по росту активов (К</t>
    </r>
    <r>
      <rPr>
        <vertAlign val="subscript"/>
        <sz val="11"/>
        <rFont val="Times New Roman"/>
        <family val="1"/>
        <charset val="204"/>
      </rPr>
      <t>эл</t>
    </r>
    <r>
      <rPr>
        <sz val="11"/>
        <rFont val="Times New Roman"/>
        <family val="1"/>
        <charset val="204"/>
      </rPr>
      <t>)</t>
    </r>
  </si>
  <si>
    <t>5</t>
  </si>
  <si>
    <t>Операционные (подконтрольные)
расходы</t>
  </si>
  <si>
    <t>Рост операционных расходов</t>
  </si>
  <si>
    <r>
      <t>_____</t>
    </r>
    <r>
      <rPr>
        <sz val="11"/>
        <rFont val="Times New Roman"/>
        <family val="1"/>
        <charset val="204"/>
      </rPr>
      <t>Примечания:</t>
    </r>
  </si>
  <si>
    <r>
      <t>_____</t>
    </r>
    <r>
      <rPr>
        <sz val="11"/>
        <rFont val="Times New Roman"/>
        <family val="1"/>
        <charset val="204"/>
      </rP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Год i0 - первый год долгосрочного периода регулирования, год i1 - последний год долгосрочного периода регулирования.</t>
    </r>
  </si>
  <si>
    <r>
      <t>_____</t>
    </r>
    <r>
      <rPr>
        <sz val="11"/>
        <rFont val="Times New Roman"/>
        <family val="1"/>
        <charset val="204"/>
      </rPr>
      <t>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Строка 3 заполняется в соответствии с пунктом 38 настоящих Методических указаний; строка 3.1 - для организаций, осуществляющих деятельность по передаче тепловой энергии и теплоносителя, в соответствии с приложением 2 к настоящим Методическим указаниям; строка 3.2 - для организаций, осуществляющих деятельность по производству тепловой энергии (мощности), с учетом инвестиционной программы регулируемой организации на соответствующий год.</t>
    </r>
  </si>
  <si>
    <r>
      <t>_____</t>
    </r>
    <r>
      <rPr>
        <sz val="11"/>
        <rFont val="Times New Roman"/>
        <family val="1"/>
        <charset val="204"/>
      </rPr>
      <t>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Ст. 5 гр. 4 заполняется по данным таблицы приложения 5.1 к настоящим Методическим указаниям.</t>
    </r>
  </si>
  <si>
    <r>
      <t>_____</t>
    </r>
    <r>
      <rPr>
        <sz val="11"/>
        <rFont val="Times New Roman"/>
        <family val="1"/>
        <charset val="204"/>
      </rPr>
      <t>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Гр. 5 - n  заполняются  расчетно, как  значение  операционных  (неподконтрольных)  расходов в  предыдущей  графе, умноженное на соответствующие  индексы текущего  года, указанные в строках
1 - 4.</t>
    </r>
  </si>
  <si>
    <t>УПРОЩЕННАЯ СИСТЕМА НАЛОГООБЛОЖЕНИЯ</t>
  </si>
  <si>
    <t>Плановые физические показатели ООО "Коммунальщик", Ленинск-Кузнецкий район</t>
  </si>
  <si>
    <t>2015 год</t>
  </si>
  <si>
    <t>с 01.01.2015г.</t>
  </si>
  <si>
    <t>с 01.07.2015г.</t>
  </si>
  <si>
    <t>ПРОИЗВОДСТВО И ОТПУСК ТЕПЛОВОЙ ЭНЕРГИИ</t>
  </si>
  <si>
    <t>перегрев в связи со срезкой  температур. графика</t>
  </si>
  <si>
    <t>ТОПЛИВО</t>
  </si>
  <si>
    <t xml:space="preserve">   -на небаланс</t>
  </si>
  <si>
    <t>Средневзвешенный интегральный коэффициент К</t>
  </si>
  <si>
    <t>Расход натурального топлива с учётом естественной убыли, всего, в т. ч.</t>
  </si>
  <si>
    <t>Анализ качества топлива</t>
  </si>
  <si>
    <t>ЭЛЕКТРОЭНЕРГИЯ</t>
  </si>
  <si>
    <t>ВОДА И КАНАЛИЗАЦИЯ</t>
  </si>
  <si>
    <t xml:space="preserve"> -ООО "Водопроводные сети"</t>
  </si>
  <si>
    <t>тыс. м4</t>
  </si>
  <si>
    <t xml:space="preserve"> -ЗАО "Водоканал"</t>
  </si>
  <si>
    <t>тыс. м5</t>
  </si>
  <si>
    <t>в том числе собственный подъем</t>
  </si>
  <si>
    <t>Теплоноситель (отбор на ГВС)</t>
  </si>
  <si>
    <t xml:space="preserve"> -ОАО "СПК"</t>
  </si>
  <si>
    <t>Тариф на воду  (себестоимость)</t>
  </si>
  <si>
    <t>Тариф на теплоноситель (исходную воду)</t>
  </si>
  <si>
    <t>Тариф на стоки</t>
  </si>
  <si>
    <t>Тариф на стоки ОАО "СПК"</t>
  </si>
  <si>
    <t>- комплексонат цинковый</t>
  </si>
  <si>
    <t>- кислота серная</t>
  </si>
  <si>
    <t>амп</t>
  </si>
  <si>
    <t xml:space="preserve"> -сульфоуголь</t>
  </si>
  <si>
    <t>- транспортные</t>
  </si>
  <si>
    <t>в том числе стоимость воды</t>
  </si>
  <si>
    <t>в том числе стоимость стоков</t>
  </si>
  <si>
    <t>Утверждено предприятия с 01.07.2015 г.</t>
  </si>
  <si>
    <t>Фактическая  смета расходов</t>
  </si>
  <si>
    <t>по производству и реализации тепловой энергии за 2015 г.</t>
  </si>
  <si>
    <t xml:space="preserve">факт  2015 г </t>
  </si>
  <si>
    <t xml:space="preserve">    2315 тонн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</si>
</sst>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0.000"/>
    <numFmt numFmtId="166" formatCode="#,##0.0000"/>
    <numFmt numFmtId="167" formatCode="0.00000"/>
    <numFmt numFmtId="168" formatCode="#,##0.00000"/>
    <numFmt numFmtId="169" formatCode="_-* #,##0\ &quot;?.&quot;_-;\-* #,##0\ &quot;?.&quot;_-;_-* &quot;-&quot;\ &quot;?.&quot;_-;_-@_-"/>
    <numFmt numFmtId="170" formatCode="_-* #,##0.00\ &quot;?.&quot;_-;\-* #,##0.00\ &quot;?.&quot;_-;_-* &quot;-&quot;??\ &quot;?.&quot;_-;_-@_-"/>
    <numFmt numFmtId="171" formatCode="_(* #,##0.0_);_(* \(#,##0.00\);_(* &quot;-&quot;??_);_(@_)"/>
    <numFmt numFmtId="172" formatCode="General_)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\60\4\7\:"/>
    <numFmt numFmtId="177" formatCode="\$#,##0\ ;\(\$#,##0\)"/>
    <numFmt numFmtId="178" formatCode="_-* #,##0.00[$€-1]_-;\-* #,##0.00[$€-1]_-;_-* &quot;-&quot;??[$€-1]_-"/>
    <numFmt numFmtId="179" formatCode="0.0_)"/>
    <numFmt numFmtId="180" formatCode="_-* #,##0_?_._-;\-* #,##0_?_._-;_-* &quot;-&quot;_?_._-;_-@_-"/>
    <numFmt numFmtId="181" formatCode="_-* #,##0.00_?_._-;\-* #,##0.00_?_._-;_-* &quot;-&quot;??_?_._-;_-@_-"/>
    <numFmt numFmtId="182" formatCode="_-* #,##0&quot;?.&quot;_-;\-* #,##0&quot;?.&quot;_-;_-* &quot;-&quot;&quot;?.&quot;_-;_-@_-"/>
    <numFmt numFmtId="183" formatCode="_-* #,##0.00&quot;?.&quot;_-;\-* #,##0.00&quot;?.&quot;_-;_-* &quot;-&quot;??&quot;?.&quot;_-;_-@_-"/>
    <numFmt numFmtId="184" formatCode="_-* #,##0\ _?_._-;\-* #,##0\ _?_._-;_-* &quot;-&quot;\ _?_._-;_-@_-"/>
    <numFmt numFmtId="185" formatCode="_-* #,##0.00\ _?_._-;\-* #,##0.00\ _?_._-;_-* &quot;-&quot;??\ _?_._-;_-@_-"/>
    <numFmt numFmtId="186" formatCode="&quot;$&quot;#,##0.00;&quot;$&quot;#,##0.00\-"/>
    <numFmt numFmtId="187" formatCode="&quot;fl&quot;#,##0.00_);[Red]\(&quot;fl&quot;#,##0.00\)"/>
    <numFmt numFmtId="188" formatCode="_(&quot;fl&quot;* #,##0_);_(&quot;fl&quot;* \(#,##0\);_(&quot;fl&quot;* &quot;-&quot;_);_(@_)"/>
    <numFmt numFmtId="189" formatCode="#,##0\в"/>
    <numFmt numFmtId="190" formatCode="#,##0\т"/>
    <numFmt numFmtId="191" formatCode="_(* #,##0_);_(* \(#,##0\);_(* &quot;-&quot;_);_(@_)"/>
    <numFmt numFmtId="192" formatCode="_(* #,##0.00_);_(* \(#,##0.00\);_(* &quot;-&quot;??_);_(@_)"/>
    <numFmt numFmtId="193" formatCode="#,##0.00_ ;[Red]\-#,##0.00\ "/>
    <numFmt numFmtId="194" formatCode="_(&quot;$&quot;* #,##0.00_);_(&quot;$&quot;* \(#,##0.00\);_(&quot;$&quot;* &quot;-&quot;??_);_(@_)"/>
    <numFmt numFmtId="195" formatCode="0.0000"/>
    <numFmt numFmtId="196" formatCode="#,##0.000"/>
  </numFmts>
  <fonts count="130">
    <font>
      <sz val="11"/>
      <color theme="1"/>
      <name val="Calibri"/>
      <family val="2"/>
      <charset val="204"/>
      <scheme val="minor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b/>
      <i/>
      <sz val="10"/>
      <name val="Arial Cyr"/>
      <family val="2"/>
      <charset val="204"/>
    </font>
    <font>
      <sz val="11"/>
      <name val="Bookman Old Style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2"/>
      <color indexed="10"/>
      <name val="Arial Cyr"/>
      <charset val="204"/>
    </font>
    <font>
      <b/>
      <sz val="12"/>
      <name val="Arial Cyr"/>
      <charset val="204"/>
    </font>
    <font>
      <b/>
      <sz val="10"/>
      <color rgb="FFFF0000"/>
      <name val="Bookman Old Style"/>
      <family val="1"/>
      <charset val="204"/>
    </font>
    <font>
      <b/>
      <sz val="12"/>
      <color rgb="FFFF0000"/>
      <name val="Bookman Old Style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0"/>
      <color indexed="24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0"/>
      <name val="SvobodaFWF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color indexed="16"/>
      <name val="Arial MT"/>
    </font>
    <font>
      <sz val="11"/>
      <name val="Arial Cyr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 MT"/>
    </font>
    <font>
      <b/>
      <i/>
      <sz val="10"/>
      <name val="Arial"/>
      <family val="2"/>
      <charset val="204"/>
    </font>
    <font>
      <sz val="10"/>
      <name val="Times New Roman Cyr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2"/>
      <color theme="1"/>
      <name val="Calibri"/>
      <family val="2"/>
      <charset val="204"/>
    </font>
    <font>
      <sz val="12"/>
      <name val="Times New Roman CYR"/>
      <family val="1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Times New Roman CYR"/>
      <family val="1"/>
      <charset val="204"/>
    </font>
    <font>
      <sz val="12"/>
      <name val="TimesET"/>
      <charset val="204"/>
    </font>
    <font>
      <sz val="10"/>
      <color indexed="62"/>
      <name val="Arial Cyr"/>
      <family val="2"/>
      <charset val="204"/>
    </font>
    <font>
      <sz val="10"/>
      <name val="Arial"/>
      <family val="2"/>
      <charset val="204"/>
    </font>
    <font>
      <b/>
      <sz val="16"/>
      <name val="Arial Cyr"/>
      <family val="2"/>
      <charset val="204"/>
    </font>
    <font>
      <b/>
      <i/>
      <sz val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12"/>
      <name val="Arial Cyr"/>
      <charset val="204"/>
    </font>
    <font>
      <sz val="14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4"/>
      <color indexed="10"/>
      <name val="Arial Cyr"/>
      <charset val="204"/>
    </font>
    <font>
      <b/>
      <sz val="14"/>
      <color indexed="10"/>
      <name val="Arial Cyr"/>
      <family val="2"/>
      <charset val="204"/>
    </font>
    <font>
      <b/>
      <sz val="9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4"/>
      <color rgb="FFFF0000"/>
      <name val="Arial Cyr"/>
      <charset val="204"/>
    </font>
    <font>
      <b/>
      <i/>
      <sz val="14"/>
      <name val="Arial Cyr"/>
      <family val="2"/>
      <charset val="204"/>
    </font>
    <font>
      <b/>
      <sz val="14"/>
      <color rgb="FFFF0000"/>
      <name val="Arial Cyr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2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34" fillId="0" borderId="0"/>
    <xf numFmtId="0" fontId="35" fillId="0" borderId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57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57">
      <protection locked="0"/>
    </xf>
    <xf numFmtId="0" fontId="38" fillId="0" borderId="0">
      <protection locked="0"/>
    </xf>
    <xf numFmtId="0" fontId="38" fillId="0" borderId="57">
      <protection locked="0"/>
    </xf>
    <xf numFmtId="0" fontId="36" fillId="0" borderId="0">
      <protection locked="0"/>
    </xf>
    <xf numFmtId="0" fontId="36" fillId="0" borderId="57">
      <protection locked="0"/>
    </xf>
    <xf numFmtId="0" fontId="38" fillId="0" borderId="0">
      <protection locked="0"/>
    </xf>
    <xf numFmtId="0" fontId="38" fillId="0" borderId="57">
      <protection locked="0"/>
    </xf>
    <xf numFmtId="0" fontId="36" fillId="0" borderId="0">
      <protection locked="0"/>
    </xf>
    <xf numFmtId="0" fontId="36" fillId="0" borderId="57">
      <protection locked="0"/>
    </xf>
    <xf numFmtId="0" fontId="36" fillId="0" borderId="0">
      <protection locked="0"/>
    </xf>
    <xf numFmtId="0" fontId="36" fillId="0" borderId="57">
      <protection locked="0"/>
    </xf>
    <xf numFmtId="0" fontId="36" fillId="0" borderId="0">
      <protection locked="0"/>
    </xf>
    <xf numFmtId="0" fontId="36" fillId="0" borderId="57">
      <protection locked="0"/>
    </xf>
    <xf numFmtId="0" fontId="38" fillId="0" borderId="0">
      <protection locked="0"/>
    </xf>
    <xf numFmtId="0" fontId="38" fillId="0" borderId="57">
      <protection locked="0"/>
    </xf>
    <xf numFmtId="0" fontId="36" fillId="0" borderId="0">
      <protection locked="0"/>
    </xf>
    <xf numFmtId="0" fontId="36" fillId="0" borderId="57">
      <protection locked="0"/>
    </xf>
    <xf numFmtId="0" fontId="38" fillId="0" borderId="0">
      <protection locked="0"/>
    </xf>
    <xf numFmtId="0" fontId="38" fillId="0" borderId="57">
      <protection locked="0"/>
    </xf>
    <xf numFmtId="0" fontId="36" fillId="0" borderId="0">
      <protection locked="0"/>
    </xf>
    <xf numFmtId="0" fontId="36" fillId="0" borderId="57">
      <protection locked="0"/>
    </xf>
    <xf numFmtId="0" fontId="36" fillId="0" borderId="0">
      <protection locked="0"/>
    </xf>
    <xf numFmtId="0" fontId="36" fillId="0" borderId="57">
      <protection locked="0"/>
    </xf>
    <xf numFmtId="0" fontId="36" fillId="0" borderId="0">
      <protection locked="0"/>
    </xf>
    <xf numFmtId="0" fontId="36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2" fillId="1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2" fillId="1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2" fillId="2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2" fillId="26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32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2" fillId="34" borderId="0" applyNumberFormat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53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7" borderId="0" applyNumberFormat="0" applyBorder="0" applyAlignment="0" applyProtection="0"/>
    <xf numFmtId="171" fontId="43" fillId="0" borderId="0" applyFill="0" applyBorder="0" applyAlignment="0"/>
    <xf numFmtId="172" fontId="43" fillId="0" borderId="0" applyFill="0" applyBorder="0" applyAlignment="0"/>
    <xf numFmtId="165" fontId="43" fillId="0" borderId="0" applyFill="0" applyBorder="0" applyAlignment="0"/>
    <xf numFmtId="173" fontId="43" fillId="0" borderId="0" applyFill="0" applyBorder="0" applyAlignment="0"/>
    <xf numFmtId="174" fontId="43" fillId="0" borderId="0" applyFill="0" applyBorder="0" applyAlignment="0"/>
    <xf numFmtId="171" fontId="43" fillId="0" borderId="0" applyFill="0" applyBorder="0" applyAlignment="0"/>
    <xf numFmtId="175" fontId="43" fillId="0" borderId="0" applyFill="0" applyBorder="0" applyAlignment="0"/>
    <xf numFmtId="172" fontId="43" fillId="0" borderId="0" applyFill="0" applyBorder="0" applyAlignment="0"/>
    <xf numFmtId="0" fontId="44" fillId="54" borderId="58" applyNumberFormat="0" applyAlignment="0" applyProtection="0"/>
    <xf numFmtId="0" fontId="45" fillId="55" borderId="59" applyNumberFormat="0" applyAlignment="0" applyProtection="0"/>
    <xf numFmtId="0" fontId="46" fillId="0" borderId="0" applyFont="0" applyFill="0" applyBorder="0" applyAlignment="0" applyProtection="0"/>
    <xf numFmtId="171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172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7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4" fontId="48" fillId="0" borderId="0" applyFill="0" applyBorder="0" applyAlignment="0"/>
    <xf numFmtId="38" fontId="49" fillId="0" borderId="60">
      <alignment vertical="center"/>
    </xf>
    <xf numFmtId="171" fontId="43" fillId="0" borderId="0" applyFill="0" applyBorder="0" applyAlignment="0"/>
    <xf numFmtId="172" fontId="43" fillId="0" borderId="0" applyFill="0" applyBorder="0" applyAlignment="0"/>
    <xf numFmtId="171" fontId="43" fillId="0" borderId="0" applyFill="0" applyBorder="0" applyAlignment="0"/>
    <xf numFmtId="175" fontId="43" fillId="0" borderId="0" applyFill="0" applyBorder="0" applyAlignment="0"/>
    <xf numFmtId="172" fontId="43" fillId="0" borderId="0" applyFill="0" applyBorder="0" applyAlignment="0"/>
    <xf numFmtId="178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51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51" fillId="0" borderId="0">
      <protection locked="0"/>
    </xf>
    <xf numFmtId="2" fontId="47" fillId="0" borderId="0" applyFont="0" applyFill="0" applyBorder="0" applyAlignment="0" applyProtection="0"/>
    <xf numFmtId="0" fontId="52" fillId="0" borderId="0"/>
    <xf numFmtId="0" fontId="53" fillId="38" borderId="0" applyNumberFormat="0" applyBorder="0" applyAlignment="0" applyProtection="0"/>
    <xf numFmtId="0" fontId="54" fillId="0" borderId="61" applyNumberFormat="0" applyBorder="0">
      <alignment horizontal="centerContinuous"/>
    </xf>
    <xf numFmtId="0" fontId="55" fillId="0" borderId="24" applyNumberFormat="0" applyAlignment="0" applyProtection="0">
      <alignment horizontal="left" vertical="center"/>
    </xf>
    <xf numFmtId="0" fontId="55" fillId="0" borderId="12">
      <alignment horizontal="left" vertical="center"/>
    </xf>
    <xf numFmtId="0" fontId="56" fillId="0" borderId="62" applyNumberFormat="0" applyFill="0" applyAlignment="0" applyProtection="0"/>
    <xf numFmtId="0" fontId="57" fillId="0" borderId="63" applyNumberFormat="0" applyFill="0" applyAlignment="0" applyProtection="0"/>
    <xf numFmtId="0" fontId="58" fillId="0" borderId="64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60" fillId="0" borderId="0"/>
    <xf numFmtId="0" fontId="61" fillId="0" borderId="0"/>
    <xf numFmtId="0" fontId="62" fillId="0" borderId="0"/>
    <xf numFmtId="0" fontId="63" fillId="0" borderId="0"/>
    <xf numFmtId="0" fontId="64" fillId="0" borderId="0"/>
    <xf numFmtId="179" fontId="65" fillId="0" borderId="0" applyNumberFormat="0"/>
    <xf numFmtId="0" fontId="52" fillId="0" borderId="0">
      <alignment horizontal="center"/>
    </xf>
    <xf numFmtId="0" fontId="66" fillId="0" borderId="0"/>
    <xf numFmtId="0" fontId="67" fillId="41" borderId="58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vertical="center"/>
    </xf>
    <xf numFmtId="171" fontId="43" fillId="0" borderId="0" applyFill="0" applyBorder="0" applyAlignment="0"/>
    <xf numFmtId="172" fontId="43" fillId="0" borderId="0" applyFill="0" applyBorder="0" applyAlignment="0"/>
    <xf numFmtId="171" fontId="43" fillId="0" borderId="0" applyFill="0" applyBorder="0" applyAlignment="0"/>
    <xf numFmtId="175" fontId="43" fillId="0" borderId="0" applyFill="0" applyBorder="0" applyAlignment="0"/>
    <xf numFmtId="172" fontId="43" fillId="0" borderId="0" applyFill="0" applyBorder="0" applyAlignment="0"/>
    <xf numFmtId="0" fontId="70" fillId="0" borderId="65" applyNumberFormat="0" applyFill="0" applyAlignment="0" applyProtection="0"/>
    <xf numFmtId="0" fontId="52" fillId="0" borderId="0">
      <alignment horizont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71" fillId="56" borderId="0" applyNumberFormat="0" applyBorder="0" applyAlignment="0" applyProtection="0"/>
    <xf numFmtId="0" fontId="52" fillId="0" borderId="0"/>
    <xf numFmtId="0" fontId="35" fillId="0" borderId="0"/>
    <xf numFmtId="9" fontId="72" fillId="0" borderId="0"/>
    <xf numFmtId="9" fontId="72" fillId="0" borderId="0"/>
    <xf numFmtId="0" fontId="6" fillId="57" borderId="66" applyNumberFormat="0" applyFont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52" fillId="0" borderId="0"/>
    <xf numFmtId="0" fontId="73" fillId="0" borderId="0"/>
    <xf numFmtId="186" fontId="74" fillId="0" borderId="0" applyFont="0" applyFill="0" applyBorder="0" applyAlignment="0" applyProtection="0"/>
    <xf numFmtId="0" fontId="75" fillId="54" borderId="67" applyNumberFormat="0" applyAlignment="0" applyProtection="0"/>
    <xf numFmtId="0" fontId="76" fillId="0" borderId="0"/>
    <xf numFmtId="174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71" fontId="43" fillId="0" borderId="0" applyFill="0" applyBorder="0" applyAlignment="0"/>
    <xf numFmtId="172" fontId="43" fillId="0" borderId="0" applyFill="0" applyBorder="0" applyAlignment="0"/>
    <xf numFmtId="171" fontId="43" fillId="0" borderId="0" applyFill="0" applyBorder="0" applyAlignment="0"/>
    <xf numFmtId="175" fontId="43" fillId="0" borderId="0" applyFill="0" applyBorder="0" applyAlignment="0"/>
    <xf numFmtId="172" fontId="43" fillId="0" borderId="0" applyFill="0" applyBorder="0" applyAlignment="0"/>
    <xf numFmtId="0" fontId="52" fillId="0" borderId="0"/>
    <xf numFmtId="0" fontId="77" fillId="58" borderId="0">
      <alignment horizontal="center" vertical="top"/>
    </xf>
    <xf numFmtId="0" fontId="77" fillId="58" borderId="0">
      <alignment horizontal="left" vertical="top"/>
    </xf>
    <xf numFmtId="0" fontId="78" fillId="58" borderId="0">
      <alignment horizontal="right" vertical="top"/>
    </xf>
    <xf numFmtId="0" fontId="78" fillId="58" borderId="0">
      <alignment horizontal="right" vertical="center"/>
    </xf>
    <xf numFmtId="0" fontId="78" fillId="58" borderId="0">
      <alignment horizontal="left" vertical="top"/>
    </xf>
    <xf numFmtId="0" fontId="78" fillId="58" borderId="0">
      <alignment horizontal="left" vertical="center"/>
    </xf>
    <xf numFmtId="0" fontId="77" fillId="58" borderId="0">
      <alignment horizontal="right" vertical="top"/>
    </xf>
    <xf numFmtId="0" fontId="77" fillId="58" borderId="0">
      <alignment horizontal="center" vertical="center"/>
    </xf>
    <xf numFmtId="0" fontId="77" fillId="58" borderId="0">
      <alignment horizontal="center" vertical="top"/>
    </xf>
    <xf numFmtId="0" fontId="78" fillId="58" borderId="0">
      <alignment horizontal="left" vertical="top"/>
    </xf>
    <xf numFmtId="0" fontId="78" fillId="58" borderId="0">
      <alignment horizontal="right" vertical="top"/>
    </xf>
    <xf numFmtId="49" fontId="48" fillId="0" borderId="0" applyFill="0" applyBorder="0" applyAlignment="0"/>
    <xf numFmtId="187" fontId="43" fillId="0" borderId="0" applyFill="0" applyBorder="0" applyAlignment="0"/>
    <xf numFmtId="188" fontId="43" fillId="0" borderId="0" applyFill="0" applyBorder="0" applyAlignment="0"/>
    <xf numFmtId="0" fontId="79" fillId="0" borderId="0" applyNumberFormat="0" applyFill="0" applyBorder="0" applyAlignment="0" applyProtection="0"/>
    <xf numFmtId="0" fontId="80" fillId="0" borderId="68" applyNumberFormat="0" applyFill="0" applyAlignment="0" applyProtection="0"/>
    <xf numFmtId="0" fontId="52" fillId="0" borderId="0"/>
    <xf numFmtId="0" fontId="33" fillId="0" borderId="0"/>
    <xf numFmtId="0" fontId="52" fillId="0" borderId="0">
      <alignment horizontal="center" textRotation="90"/>
    </xf>
    <xf numFmtId="0" fontId="81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2" fillId="1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2" fillId="15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2" fillId="1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2" fillId="23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32" fillId="27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2" fillId="31" borderId="0" applyNumberFormat="0" applyBorder="0" applyAlignment="0" applyProtection="0"/>
    <xf numFmtId="189" fontId="82" fillId="0" borderId="69">
      <alignment horizontal="center"/>
    </xf>
    <xf numFmtId="0" fontId="67" fillId="41" borderId="58" applyNumberFormat="0" applyAlignment="0" applyProtection="0"/>
    <xf numFmtId="0" fontId="67" fillId="41" borderId="58" applyNumberFormat="0" applyAlignment="0" applyProtection="0"/>
    <xf numFmtId="0" fontId="67" fillId="41" borderId="58" applyNumberFormat="0" applyAlignment="0" applyProtection="0"/>
    <xf numFmtId="0" fontId="24" fillId="7" borderId="36" applyNumberFormat="0" applyAlignment="0" applyProtection="0"/>
    <xf numFmtId="0" fontId="75" fillId="54" borderId="67" applyNumberFormat="0" applyAlignment="0" applyProtection="0"/>
    <xf numFmtId="0" fontId="75" fillId="54" borderId="67" applyNumberFormat="0" applyAlignment="0" applyProtection="0"/>
    <xf numFmtId="0" fontId="75" fillId="54" borderId="67" applyNumberFormat="0" applyAlignment="0" applyProtection="0"/>
    <xf numFmtId="0" fontId="25" fillId="8" borderId="37" applyNumberFormat="0" applyAlignment="0" applyProtection="0"/>
    <xf numFmtId="0" fontId="44" fillId="54" borderId="58" applyNumberFormat="0" applyAlignment="0" applyProtection="0"/>
    <xf numFmtId="0" fontId="44" fillId="54" borderId="58" applyNumberFormat="0" applyAlignment="0" applyProtection="0"/>
    <xf numFmtId="0" fontId="44" fillId="54" borderId="58" applyNumberFormat="0" applyAlignment="0" applyProtection="0"/>
    <xf numFmtId="0" fontId="26" fillId="8" borderId="36" applyNumberFormat="0" applyAlignment="0" applyProtection="0"/>
    <xf numFmtId="14" fontId="83" fillId="0" borderId="70" applyBorder="0">
      <alignment horizontal="center" vertical="center"/>
    </xf>
    <xf numFmtId="14" fontId="11" fillId="0" borderId="0">
      <alignment vertical="center"/>
    </xf>
    <xf numFmtId="0" fontId="84" fillId="0" borderId="0" applyBorder="0">
      <alignment horizontal="center" vertical="center" wrapText="1"/>
    </xf>
    <xf numFmtId="0" fontId="56" fillId="0" borderId="62" applyNumberFormat="0" applyFill="0" applyAlignment="0" applyProtection="0"/>
    <xf numFmtId="0" fontId="56" fillId="0" borderId="62" applyNumberFormat="0" applyFill="0" applyAlignment="0" applyProtection="0"/>
    <xf numFmtId="0" fontId="56" fillId="0" borderId="62" applyNumberFormat="0" applyFill="0" applyAlignment="0" applyProtection="0"/>
    <xf numFmtId="0" fontId="19" fillId="0" borderId="33" applyNumberFormat="0" applyFill="0" applyAlignment="0" applyProtection="0"/>
    <xf numFmtId="0" fontId="57" fillId="0" borderId="63" applyNumberFormat="0" applyFill="0" applyAlignment="0" applyProtection="0"/>
    <xf numFmtId="0" fontId="57" fillId="0" borderId="63" applyNumberFormat="0" applyFill="0" applyAlignment="0" applyProtection="0"/>
    <xf numFmtId="0" fontId="57" fillId="0" borderId="63" applyNumberFormat="0" applyFill="0" applyAlignment="0" applyProtection="0"/>
    <xf numFmtId="0" fontId="20" fillId="0" borderId="34" applyNumberFormat="0" applyFill="0" applyAlignment="0" applyProtection="0"/>
    <xf numFmtId="0" fontId="58" fillId="0" borderId="64" applyNumberFormat="0" applyFill="0" applyAlignment="0" applyProtection="0"/>
    <xf numFmtId="0" fontId="58" fillId="0" borderId="64" applyNumberFormat="0" applyFill="0" applyAlignment="0" applyProtection="0"/>
    <xf numFmtId="0" fontId="58" fillId="0" borderId="64" applyNumberFormat="0" applyFill="0" applyAlignment="0" applyProtection="0"/>
    <xf numFmtId="0" fontId="21" fillId="0" borderId="35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5" fillId="0" borderId="71" applyBorder="0">
      <alignment horizontal="center" vertical="center" wrapText="1"/>
    </xf>
    <xf numFmtId="4" fontId="86" fillId="59" borderId="10" applyBorder="0">
      <alignment horizontal="right"/>
    </xf>
    <xf numFmtId="0" fontId="80" fillId="0" borderId="68" applyNumberFormat="0" applyFill="0" applyAlignment="0" applyProtection="0"/>
    <xf numFmtId="0" fontId="80" fillId="0" borderId="68" applyNumberFormat="0" applyFill="0" applyAlignment="0" applyProtection="0"/>
    <xf numFmtId="0" fontId="80" fillId="0" borderId="68" applyNumberFormat="0" applyFill="0" applyAlignment="0" applyProtection="0"/>
    <xf numFmtId="0" fontId="31" fillId="0" borderId="41" applyNumberFormat="0" applyFill="0" applyAlignment="0" applyProtection="0"/>
    <xf numFmtId="0" fontId="45" fillId="55" borderId="59" applyNumberFormat="0" applyAlignment="0" applyProtection="0"/>
    <xf numFmtId="0" fontId="45" fillId="55" borderId="59" applyNumberFormat="0" applyAlignment="0" applyProtection="0"/>
    <xf numFmtId="0" fontId="45" fillId="55" borderId="59" applyNumberFormat="0" applyAlignment="0" applyProtection="0"/>
    <xf numFmtId="0" fontId="28" fillId="9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23" fillId="6" borderId="0" applyNumberFormat="0" applyBorder="0" applyAlignment="0" applyProtection="0"/>
    <xf numFmtId="0" fontId="87" fillId="0" borderId="0"/>
    <xf numFmtId="0" fontId="6" fillId="0" borderId="0"/>
    <xf numFmtId="0" fontId="6" fillId="0" borderId="0"/>
    <xf numFmtId="0" fontId="88" fillId="0" borderId="0"/>
    <xf numFmtId="0" fontId="52" fillId="0" borderId="0"/>
    <xf numFmtId="0" fontId="6" fillId="0" borderId="0"/>
    <xf numFmtId="0" fontId="88" fillId="0" borderId="0"/>
    <xf numFmtId="0" fontId="39" fillId="0" borderId="0"/>
    <xf numFmtId="0" fontId="52" fillId="0" borderId="0"/>
    <xf numFmtId="0" fontId="52" fillId="0" borderId="0"/>
    <xf numFmtId="0" fontId="89" fillId="0" borderId="0"/>
    <xf numFmtId="0" fontId="90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22" fillId="5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>
      <alignment horizontal="right" vertical="top" wrapText="1"/>
    </xf>
    <xf numFmtId="0" fontId="6" fillId="57" borderId="66" applyNumberFormat="0" applyFont="0" applyAlignment="0" applyProtection="0"/>
    <xf numFmtId="0" fontId="88" fillId="57" borderId="66" applyNumberFormat="0" applyFont="0" applyAlignment="0" applyProtection="0"/>
    <xf numFmtId="0" fontId="6" fillId="57" borderId="66" applyNumberFormat="0" applyFont="0" applyAlignment="0" applyProtection="0"/>
    <xf numFmtId="0" fontId="39" fillId="10" borderId="40" applyNumberFormat="0" applyFont="0" applyAlignment="0" applyProtection="0"/>
    <xf numFmtId="0" fontId="39" fillId="10" borderId="40" applyNumberFormat="0" applyFont="0" applyAlignment="0" applyProtection="0"/>
    <xf numFmtId="9" fontId="9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70" fillId="0" borderId="65" applyNumberFormat="0" applyFill="0" applyAlignment="0" applyProtection="0"/>
    <xf numFmtId="0" fontId="70" fillId="0" borderId="65" applyNumberFormat="0" applyFill="0" applyAlignment="0" applyProtection="0"/>
    <xf numFmtId="0" fontId="70" fillId="0" borderId="65" applyNumberFormat="0" applyFill="0" applyAlignment="0" applyProtection="0"/>
    <xf numFmtId="0" fontId="27" fillId="0" borderId="38" applyNumberFormat="0" applyFill="0" applyAlignment="0" applyProtection="0"/>
    <xf numFmtId="0" fontId="35" fillId="0" borderId="0"/>
    <xf numFmtId="0" fontId="6" fillId="0" borderId="0">
      <alignment vertical="justify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0" fontId="82" fillId="0" borderId="0"/>
    <xf numFmtId="191" fontId="92" fillId="0" borderId="0" applyFont="0" applyFill="0" applyBorder="0" applyAlignment="0" applyProtection="0"/>
    <xf numFmtId="192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89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86" fillId="35" borderId="0" applyFont="0" applyBorder="0">
      <alignment horizontal="right"/>
    </xf>
    <xf numFmtId="4" fontId="86" fillId="35" borderId="16" applyBorder="0">
      <alignment horizontal="right"/>
    </xf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" fillId="2" borderId="0" applyNumberFormat="0" applyBorder="0" applyAlignment="0" applyProtection="0"/>
    <xf numFmtId="0" fontId="36" fillId="0" borderId="0">
      <protection locked="0"/>
    </xf>
    <xf numFmtId="194" fontId="5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4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</cellStyleXfs>
  <cellXfs count="847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7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/>
    <xf numFmtId="0" fontId="2" fillId="0" borderId="5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164" fontId="1" fillId="0" borderId="4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0" borderId="5" xfId="0" applyFont="1" applyFill="1" applyBorder="1"/>
    <xf numFmtId="0" fontId="3" fillId="0" borderId="0" xfId="0" applyFont="1" applyFill="1" applyBorder="1"/>
    <xf numFmtId="0" fontId="2" fillId="0" borderId="6" xfId="0" applyFont="1" applyFill="1" applyBorder="1"/>
    <xf numFmtId="2" fontId="1" fillId="0" borderId="4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6" xfId="0" applyFill="1" applyBorder="1"/>
    <xf numFmtId="0" fontId="1" fillId="0" borderId="6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2" fontId="1" fillId="0" borderId="10" xfId="0" applyNumberFormat="1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2" xfId="0" applyFont="1" applyFill="1" applyBorder="1"/>
    <xf numFmtId="2" fontId="1" fillId="0" borderId="13" xfId="0" applyNumberFormat="1" applyFont="1" applyFill="1" applyBorder="1" applyAlignment="1">
      <alignment horizontal="center"/>
    </xf>
    <xf numFmtId="0" fontId="0" fillId="0" borderId="12" xfId="0" applyFill="1" applyBorder="1"/>
    <xf numFmtId="164" fontId="1" fillId="0" borderId="13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2" fillId="0" borderId="2" xfId="0" applyFont="1" applyFill="1" applyBorder="1"/>
    <xf numFmtId="2" fontId="1" fillId="0" borderId="1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2" fillId="0" borderId="8" xfId="0" applyFont="1" applyFill="1" applyBorder="1"/>
    <xf numFmtId="2" fontId="1" fillId="0" borderId="7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2" fillId="0" borderId="15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/>
    <xf numFmtId="0" fontId="0" fillId="0" borderId="2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3" xfId="0" applyFont="1" applyFill="1" applyBorder="1"/>
    <xf numFmtId="0" fontId="2" fillId="0" borderId="9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165" fontId="16" fillId="3" borderId="13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0" fillId="3" borderId="4" xfId="0" applyFill="1" applyBorder="1"/>
    <xf numFmtId="2" fontId="2" fillId="3" borderId="9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10" xfId="0" applyFont="1" applyFill="1" applyBorder="1"/>
    <xf numFmtId="2" fontId="1" fillId="0" borderId="0" xfId="0" applyNumberFormat="1" applyFont="1" applyFill="1"/>
    <xf numFmtId="2" fontId="1" fillId="3" borderId="10" xfId="0" applyNumberFormat="1" applyFont="1" applyFill="1" applyBorder="1"/>
    <xf numFmtId="2" fontId="2" fillId="3" borderId="10" xfId="0" applyNumberFormat="1" applyFont="1" applyFill="1" applyBorder="1" applyAlignment="1">
      <alignment horizontal="center"/>
    </xf>
    <xf numFmtId="2" fontId="0" fillId="0" borderId="0" xfId="0" applyNumberFormat="1" applyFill="1"/>
    <xf numFmtId="2" fontId="2" fillId="3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0" xfId="3" applyFill="1"/>
    <xf numFmtId="0" fontId="8" fillId="0" borderId="0" xfId="3" applyFont="1" applyFill="1"/>
    <xf numFmtId="0" fontId="7" fillId="0" borderId="54" xfId="3" applyFont="1" applyFill="1" applyBorder="1" applyAlignment="1">
      <alignment vertical="center"/>
    </xf>
    <xf numFmtId="0" fontId="10" fillId="0" borderId="28" xfId="3" applyFont="1" applyFill="1" applyBorder="1" applyAlignment="1">
      <alignment horizontal="center" vertical="center" wrapText="1"/>
    </xf>
    <xf numFmtId="49" fontId="10" fillId="0" borderId="28" xfId="3" applyNumberFormat="1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left" vertical="center"/>
    </xf>
    <xf numFmtId="0" fontId="6" fillId="0" borderId="17" xfId="3" applyFont="1" applyFill="1" applyBorder="1" applyAlignment="1">
      <alignment horizontal="center" vertical="center"/>
    </xf>
    <xf numFmtId="2" fontId="6" fillId="3" borderId="17" xfId="3" applyNumberFormat="1" applyFont="1" applyFill="1" applyBorder="1" applyAlignment="1">
      <alignment horizontal="right" vertical="center"/>
    </xf>
    <xf numFmtId="2" fontId="6" fillId="0" borderId="17" xfId="3" applyNumberFormat="1" applyFont="1" applyFill="1" applyBorder="1" applyAlignment="1">
      <alignment horizontal="right" vertical="center"/>
    </xf>
    <xf numFmtId="2" fontId="6" fillId="3" borderId="21" xfId="3" applyNumberFormat="1" applyFont="1" applyFill="1" applyBorder="1" applyAlignment="1">
      <alignment horizontal="right" vertical="center"/>
    </xf>
    <xf numFmtId="0" fontId="6" fillId="0" borderId="10" xfId="3" applyFill="1" applyBorder="1"/>
    <xf numFmtId="0" fontId="6" fillId="0" borderId="25" xfId="3" applyFont="1" applyFill="1" applyBorder="1" applyAlignment="1">
      <alignment horizontal="left" vertical="center"/>
    </xf>
    <xf numFmtId="0" fontId="6" fillId="0" borderId="10" xfId="3" applyFont="1" applyFill="1" applyBorder="1" applyAlignment="1">
      <alignment horizontal="center" vertical="center"/>
    </xf>
    <xf numFmtId="2" fontId="6" fillId="3" borderId="10" xfId="3" applyNumberFormat="1" applyFont="1" applyFill="1" applyBorder="1" applyAlignment="1">
      <alignment horizontal="right" vertical="center"/>
    </xf>
    <xf numFmtId="2" fontId="6" fillId="0" borderId="10" xfId="3" applyNumberFormat="1" applyFont="1" applyFill="1" applyBorder="1" applyAlignment="1">
      <alignment horizontal="right" vertical="center"/>
    </xf>
    <xf numFmtId="2" fontId="6" fillId="3" borderId="26" xfId="3" applyNumberFormat="1" applyFont="1" applyFill="1" applyBorder="1" applyAlignment="1">
      <alignment horizontal="right" vertical="center"/>
    </xf>
    <xf numFmtId="0" fontId="6" fillId="0" borderId="0" xfId="3" applyFill="1" applyBorder="1"/>
    <xf numFmtId="0" fontId="6" fillId="0" borderId="27" xfId="3" applyFont="1" applyFill="1" applyBorder="1" applyAlignment="1">
      <alignment horizontal="left" vertical="center"/>
    </xf>
    <xf numFmtId="0" fontId="6" fillId="0" borderId="28" xfId="3" applyFont="1" applyFill="1" applyBorder="1" applyAlignment="1">
      <alignment horizontal="center" vertical="center"/>
    </xf>
    <xf numFmtId="2" fontId="6" fillId="3" borderId="28" xfId="3" applyNumberFormat="1" applyFont="1" applyFill="1" applyBorder="1" applyAlignment="1">
      <alignment horizontal="right" vertical="center"/>
    </xf>
    <xf numFmtId="2" fontId="6" fillId="0" borderId="28" xfId="3" applyNumberFormat="1" applyFont="1" applyFill="1" applyBorder="1" applyAlignment="1">
      <alignment horizontal="right" vertical="center"/>
    </xf>
    <xf numFmtId="2" fontId="6" fillId="0" borderId="29" xfId="3" applyNumberFormat="1" applyFont="1" applyFill="1" applyBorder="1" applyAlignment="1">
      <alignment horizontal="right" vertical="center"/>
    </xf>
    <xf numFmtId="0" fontId="6" fillId="0" borderId="30" xfId="3" applyFont="1" applyFill="1" applyBorder="1" applyAlignment="1">
      <alignment horizontal="left" vertical="center"/>
    </xf>
    <xf numFmtId="0" fontId="6" fillId="0" borderId="4" xfId="3" applyFill="1" applyBorder="1" applyAlignment="1">
      <alignment horizontal="center" vertical="center"/>
    </xf>
    <xf numFmtId="2" fontId="6" fillId="3" borderId="4" xfId="3" applyNumberFormat="1" applyFill="1" applyBorder="1"/>
    <xf numFmtId="2" fontId="6" fillId="0" borderId="4" xfId="3" applyNumberFormat="1" applyFill="1" applyBorder="1"/>
    <xf numFmtId="2" fontId="6" fillId="0" borderId="6" xfId="3" applyNumberFormat="1" applyFill="1" applyBorder="1"/>
    <xf numFmtId="2" fontId="6" fillId="0" borderId="0" xfId="3" applyNumberFormat="1" applyFill="1" applyBorder="1"/>
    <xf numFmtId="2" fontId="6" fillId="0" borderId="31" xfId="3" applyNumberFormat="1" applyFill="1" applyBorder="1"/>
    <xf numFmtId="2" fontId="6" fillId="0" borderId="32" xfId="3" applyNumberFormat="1" applyFill="1" applyBorder="1"/>
    <xf numFmtId="0" fontId="11" fillId="0" borderId="16" xfId="3" applyFont="1" applyFill="1" applyBorder="1" applyAlignment="1">
      <alignment vertical="top" wrapText="1"/>
    </xf>
    <xf numFmtId="0" fontId="11" fillId="0" borderId="17" xfId="3" applyFont="1" applyFill="1" applyBorder="1" applyAlignment="1">
      <alignment horizontal="center" vertical="top" wrapText="1"/>
    </xf>
    <xf numFmtId="4" fontId="11" fillId="3" borderId="17" xfId="3" applyNumberFormat="1" applyFont="1" applyFill="1" applyBorder="1" applyAlignment="1">
      <alignment vertical="center"/>
    </xf>
    <xf numFmtId="2" fontId="11" fillId="0" borderId="17" xfId="3" applyNumberFormat="1" applyFont="1" applyFill="1" applyBorder="1" applyAlignment="1">
      <alignment horizontal="right" vertical="center"/>
    </xf>
    <xf numFmtId="4" fontId="11" fillId="0" borderId="17" xfId="3" applyNumberFormat="1" applyFont="1" applyFill="1" applyBorder="1" applyAlignment="1">
      <alignment vertical="center"/>
    </xf>
    <xf numFmtId="4" fontId="11" fillId="3" borderId="21" xfId="3" applyNumberFormat="1" applyFont="1" applyFill="1" applyBorder="1" applyAlignment="1">
      <alignment vertical="center"/>
    </xf>
    <xf numFmtId="4" fontId="6" fillId="0" borderId="0" xfId="3" applyNumberFormat="1" applyFont="1" applyFill="1"/>
    <xf numFmtId="0" fontId="6" fillId="0" borderId="0" xfId="3" applyFont="1" applyFill="1"/>
    <xf numFmtId="0" fontId="6" fillId="0" borderId="10" xfId="3" applyFont="1" applyFill="1" applyBorder="1"/>
    <xf numFmtId="0" fontId="11" fillId="0" borderId="25" xfId="3" applyFont="1" applyFill="1" applyBorder="1" applyAlignment="1">
      <alignment vertical="top" wrapText="1"/>
    </xf>
    <xf numFmtId="0" fontId="11" fillId="0" borderId="10" xfId="3" applyFont="1" applyFill="1" applyBorder="1" applyAlignment="1">
      <alignment horizontal="center" vertical="top" wrapText="1"/>
    </xf>
    <xf numFmtId="4" fontId="11" fillId="3" borderId="10" xfId="3" applyNumberFormat="1" applyFont="1" applyFill="1" applyBorder="1" applyAlignment="1">
      <alignment vertical="center"/>
    </xf>
    <xf numFmtId="2" fontId="11" fillId="0" borderId="10" xfId="3" applyNumberFormat="1" applyFont="1" applyFill="1" applyBorder="1" applyAlignment="1">
      <alignment horizontal="right" vertical="center"/>
    </xf>
    <xf numFmtId="4" fontId="11" fillId="0" borderId="10" xfId="3" applyNumberFormat="1" applyFont="1" applyFill="1" applyBorder="1" applyAlignment="1">
      <alignment vertical="center"/>
    </xf>
    <xf numFmtId="4" fontId="11" fillId="3" borderId="26" xfId="3" applyNumberFormat="1" applyFont="1" applyFill="1" applyBorder="1" applyAlignment="1">
      <alignment vertical="center"/>
    </xf>
    <xf numFmtId="2" fontId="11" fillId="3" borderId="10" xfId="3" applyNumberFormat="1" applyFont="1" applyFill="1" applyBorder="1" applyAlignment="1">
      <alignment horizontal="right" vertical="center" wrapText="1"/>
    </xf>
    <xf numFmtId="0" fontId="6" fillId="0" borderId="1" xfId="3" applyFont="1" applyFill="1" applyBorder="1"/>
    <xf numFmtId="0" fontId="14" fillId="0" borderId="10" xfId="3" applyFont="1" applyFill="1" applyBorder="1"/>
    <xf numFmtId="0" fontId="6" fillId="0" borderId="4" xfId="3" applyFont="1" applyFill="1" applyBorder="1"/>
    <xf numFmtId="0" fontId="6" fillId="0" borderId="25" xfId="3" applyFont="1" applyFill="1" applyBorder="1"/>
    <xf numFmtId="0" fontId="6" fillId="0" borderId="7" xfId="3" applyFont="1" applyFill="1" applyBorder="1"/>
    <xf numFmtId="0" fontId="6" fillId="0" borderId="27" xfId="3" applyFont="1" applyFill="1" applyBorder="1"/>
    <xf numFmtId="0" fontId="11" fillId="0" borderId="28" xfId="3" applyFont="1" applyFill="1" applyBorder="1" applyAlignment="1">
      <alignment horizontal="center" vertical="top" wrapText="1"/>
    </xf>
    <xf numFmtId="2" fontId="11" fillId="3" borderId="28" xfId="3" applyNumberFormat="1" applyFont="1" applyFill="1" applyBorder="1" applyAlignment="1">
      <alignment horizontal="right" vertical="center" wrapText="1"/>
    </xf>
    <xf numFmtId="2" fontId="11" fillId="0" borderId="28" xfId="3" applyNumberFormat="1" applyFont="1" applyFill="1" applyBorder="1" applyAlignment="1">
      <alignment horizontal="right" vertical="center"/>
    </xf>
    <xf numFmtId="4" fontId="11" fillId="0" borderId="28" xfId="3" applyNumberFormat="1" applyFont="1" applyFill="1" applyBorder="1" applyAlignment="1">
      <alignment vertical="center"/>
    </xf>
    <xf numFmtId="4" fontId="11" fillId="3" borderId="28" xfId="3" applyNumberFormat="1" applyFont="1" applyFill="1" applyBorder="1" applyAlignment="1">
      <alignment vertical="center"/>
    </xf>
    <xf numFmtId="4" fontId="11" fillId="3" borderId="29" xfId="3" applyNumberFormat="1" applyFont="1" applyFill="1" applyBorder="1" applyAlignment="1">
      <alignment vertical="center"/>
    </xf>
    <xf numFmtId="10" fontId="12" fillId="0" borderId="0" xfId="3" applyNumberFormat="1" applyFont="1" applyFill="1"/>
    <xf numFmtId="0" fontId="11" fillId="0" borderId="17" xfId="3" applyFont="1" applyFill="1" applyBorder="1" applyAlignment="1">
      <alignment horizontal="center" vertical="center" wrapText="1"/>
    </xf>
    <xf numFmtId="2" fontId="6" fillId="3" borderId="17" xfId="3" applyNumberFormat="1" applyFont="1" applyFill="1" applyBorder="1" applyAlignment="1">
      <alignment horizontal="right" vertical="center" wrapText="1"/>
    </xf>
    <xf numFmtId="2" fontId="6" fillId="0" borderId="17" xfId="3" applyNumberFormat="1" applyFont="1" applyFill="1" applyBorder="1" applyAlignment="1">
      <alignment horizontal="right" vertical="center" wrapText="1"/>
    </xf>
    <xf numFmtId="2" fontId="6" fillId="0" borderId="48" xfId="3" applyNumberFormat="1" applyFont="1" applyFill="1" applyBorder="1" applyAlignment="1">
      <alignment horizontal="right" vertical="center" wrapText="1"/>
    </xf>
    <xf numFmtId="2" fontId="6" fillId="3" borderId="21" xfId="3" applyNumberFormat="1" applyFont="1" applyFill="1" applyBorder="1" applyAlignment="1">
      <alignment horizontal="right" vertical="center" wrapText="1"/>
    </xf>
    <xf numFmtId="2" fontId="6" fillId="0" borderId="0" xfId="3" applyNumberFormat="1" applyFont="1" applyFill="1"/>
    <xf numFmtId="0" fontId="11" fillId="0" borderId="25" xfId="3" applyFont="1" applyFill="1" applyBorder="1" applyAlignment="1">
      <alignment horizontal="left" vertical="top" wrapText="1" indent="2"/>
    </xf>
    <xf numFmtId="2" fontId="6" fillId="3" borderId="10" xfId="3" applyNumberFormat="1" applyFont="1" applyFill="1" applyBorder="1" applyAlignment="1">
      <alignment horizontal="right" vertical="center" wrapText="1"/>
    </xf>
    <xf numFmtId="2" fontId="11" fillId="0" borderId="10" xfId="3" applyNumberFormat="1" applyFont="1" applyFill="1" applyBorder="1" applyAlignment="1">
      <alignment vertical="center"/>
    </xf>
    <xf numFmtId="2" fontId="6" fillId="0" borderId="13" xfId="3" applyNumberFormat="1" applyFont="1" applyFill="1" applyBorder="1" applyAlignment="1">
      <alignment vertical="center"/>
    </xf>
    <xf numFmtId="2" fontId="6" fillId="3" borderId="10" xfId="3" applyNumberFormat="1" applyFont="1" applyFill="1" applyBorder="1" applyAlignment="1">
      <alignment vertical="center"/>
    </xf>
    <xf numFmtId="2" fontId="11" fillId="3" borderId="10" xfId="3" applyNumberFormat="1" applyFont="1" applyFill="1" applyBorder="1" applyAlignment="1">
      <alignment vertical="center"/>
    </xf>
    <xf numFmtId="2" fontId="11" fillId="3" borderId="26" xfId="3" applyNumberFormat="1" applyFont="1" applyFill="1" applyBorder="1" applyAlignment="1">
      <alignment vertical="center"/>
    </xf>
    <xf numFmtId="2" fontId="11" fillId="0" borderId="26" xfId="3" applyNumberFormat="1" applyFont="1" applyFill="1" applyBorder="1" applyAlignment="1">
      <alignment vertical="center"/>
    </xf>
    <xf numFmtId="49" fontId="11" fillId="0" borderId="25" xfId="3" applyNumberFormat="1" applyFont="1" applyFill="1" applyBorder="1" applyAlignment="1">
      <alignment horizontal="left" vertical="top" wrapText="1" indent="2"/>
    </xf>
    <xf numFmtId="49" fontId="11" fillId="0" borderId="25" xfId="3" applyNumberFormat="1" applyFont="1" applyFill="1" applyBorder="1" applyAlignment="1">
      <alignment vertical="center"/>
    </xf>
    <xf numFmtId="165" fontId="6" fillId="3" borderId="10" xfId="3" applyNumberFormat="1" applyFont="1" applyFill="1" applyBorder="1" applyAlignment="1">
      <alignment horizontal="right" vertical="center" wrapText="1"/>
    </xf>
    <xf numFmtId="165" fontId="6" fillId="0" borderId="10" xfId="3" applyNumberFormat="1" applyFont="1" applyFill="1" applyBorder="1" applyAlignment="1">
      <alignment horizontal="right" vertical="center" wrapText="1"/>
    </xf>
    <xf numFmtId="165" fontId="11" fillId="0" borderId="10" xfId="3" applyNumberFormat="1" applyFont="1" applyFill="1" applyBorder="1" applyAlignment="1">
      <alignment horizontal="right" vertical="center" wrapText="1"/>
    </xf>
    <xf numFmtId="165" fontId="6" fillId="0" borderId="13" xfId="3" applyNumberFormat="1" applyFont="1" applyFill="1" applyBorder="1" applyAlignment="1">
      <alignment horizontal="right" vertical="center" wrapText="1"/>
    </xf>
    <xf numFmtId="165" fontId="11" fillId="3" borderId="10" xfId="3" applyNumberFormat="1" applyFont="1" applyFill="1" applyBorder="1" applyAlignment="1">
      <alignment horizontal="right" vertical="center" wrapText="1"/>
    </xf>
    <xf numFmtId="165" fontId="11" fillId="3" borderId="26" xfId="3" applyNumberFormat="1" applyFont="1" applyFill="1" applyBorder="1" applyAlignment="1">
      <alignment horizontal="right" vertical="center" wrapText="1"/>
    </xf>
    <xf numFmtId="165" fontId="6" fillId="0" borderId="10" xfId="3" applyNumberFormat="1" applyFont="1" applyFill="1" applyBorder="1" applyAlignment="1">
      <alignment horizontal="right" vertical="center"/>
    </xf>
    <xf numFmtId="165" fontId="11" fillId="0" borderId="10" xfId="3" applyNumberFormat="1" applyFont="1" applyFill="1" applyBorder="1" applyAlignment="1">
      <alignment vertical="center"/>
    </xf>
    <xf numFmtId="165" fontId="6" fillId="0" borderId="13" xfId="3" applyNumberFormat="1" applyFont="1" applyFill="1" applyBorder="1" applyAlignment="1">
      <alignment vertical="center"/>
    </xf>
    <xf numFmtId="165" fontId="6" fillId="3" borderId="10" xfId="3" applyNumberFormat="1" applyFont="1" applyFill="1" applyBorder="1" applyAlignment="1">
      <alignment vertical="center"/>
    </xf>
    <xf numFmtId="165" fontId="11" fillId="3" borderId="10" xfId="3" applyNumberFormat="1" applyFont="1" applyFill="1" applyBorder="1" applyAlignment="1">
      <alignment vertical="center"/>
    </xf>
    <xf numFmtId="165" fontId="11" fillId="3" borderId="26" xfId="3" applyNumberFormat="1" applyFont="1" applyFill="1" applyBorder="1" applyAlignment="1">
      <alignment vertical="center"/>
    </xf>
    <xf numFmtId="0" fontId="12" fillId="0" borderId="0" xfId="3" applyFont="1" applyFill="1"/>
    <xf numFmtId="0" fontId="6" fillId="0" borderId="47" xfId="3" applyFont="1" applyFill="1" applyBorder="1"/>
    <xf numFmtId="0" fontId="6" fillId="0" borderId="19" xfId="3" applyFont="1" applyFill="1" applyBorder="1"/>
    <xf numFmtId="0" fontId="6" fillId="0" borderId="42" xfId="3" applyFont="1" applyFill="1" applyBorder="1"/>
    <xf numFmtId="0" fontId="6" fillId="0" borderId="56" xfId="3" applyFont="1" applyFill="1" applyBorder="1"/>
    <xf numFmtId="0" fontId="6" fillId="0" borderId="0" xfId="3" applyFont="1" applyFill="1" applyBorder="1"/>
    <xf numFmtId="0" fontId="6" fillId="0" borderId="32" xfId="3" applyFont="1" applyFill="1" applyBorder="1"/>
    <xf numFmtId="165" fontId="11" fillId="0" borderId="26" xfId="3" applyNumberFormat="1" applyFont="1" applyFill="1" applyBorder="1" applyAlignment="1">
      <alignment vertical="center"/>
    </xf>
    <xf numFmtId="0" fontId="11" fillId="0" borderId="10" xfId="3" applyFont="1" applyFill="1" applyBorder="1" applyAlignment="1">
      <alignment horizontal="center" vertical="center" wrapText="1"/>
    </xf>
    <xf numFmtId="2" fontId="6" fillId="0" borderId="10" xfId="3" applyNumberFormat="1" applyFont="1" applyFill="1" applyBorder="1" applyAlignment="1">
      <alignment horizontal="right" vertical="center" wrapText="1"/>
    </xf>
    <xf numFmtId="0" fontId="12" fillId="0" borderId="44" xfId="3" applyFont="1" applyFill="1" applyBorder="1"/>
    <xf numFmtId="0" fontId="6" fillId="0" borderId="52" xfId="3" applyFont="1" applyFill="1" applyBorder="1"/>
    <xf numFmtId="0" fontId="6" fillId="0" borderId="43" xfId="3" applyFont="1" applyFill="1" applyBorder="1"/>
    <xf numFmtId="2" fontId="11" fillId="0" borderId="10" xfId="3" applyNumberFormat="1" applyFont="1" applyFill="1" applyBorder="1" applyAlignment="1">
      <alignment horizontal="right" vertical="center" wrapText="1"/>
    </xf>
    <xf numFmtId="2" fontId="6" fillId="0" borderId="13" xfId="3" applyNumberFormat="1" applyFont="1" applyFill="1" applyBorder="1" applyAlignment="1">
      <alignment horizontal="right" vertical="center"/>
    </xf>
    <xf numFmtId="2" fontId="11" fillId="3" borderId="10" xfId="3" applyNumberFormat="1" applyFont="1" applyFill="1" applyBorder="1" applyAlignment="1">
      <alignment horizontal="right" vertical="center"/>
    </xf>
    <xf numFmtId="2" fontId="11" fillId="3" borderId="26" xfId="3" applyNumberFormat="1" applyFont="1" applyFill="1" applyBorder="1" applyAlignment="1">
      <alignment horizontal="right" vertical="center"/>
    </xf>
    <xf numFmtId="2" fontId="11" fillId="0" borderId="26" xfId="3" applyNumberFormat="1" applyFont="1" applyFill="1" applyBorder="1" applyAlignment="1">
      <alignment horizontal="right" vertical="center"/>
    </xf>
    <xf numFmtId="2" fontId="11" fillId="0" borderId="10" xfId="3" applyNumberFormat="1" applyFont="1" applyFill="1" applyBorder="1" applyAlignment="1">
      <alignment horizontal="right" vertical="top" wrapText="1"/>
    </xf>
    <xf numFmtId="2" fontId="6" fillId="0" borderId="13" xfId="3" applyNumberFormat="1" applyFont="1" applyFill="1" applyBorder="1" applyAlignment="1">
      <alignment horizontal="right" vertical="top" wrapText="1"/>
    </xf>
    <xf numFmtId="2" fontId="6" fillId="3" borderId="10" xfId="3" applyNumberFormat="1" applyFont="1" applyFill="1" applyBorder="1" applyAlignment="1">
      <alignment horizontal="right" vertical="top" wrapText="1"/>
    </xf>
    <xf numFmtId="2" fontId="11" fillId="3" borderId="10" xfId="3" applyNumberFormat="1" applyFont="1" applyFill="1" applyBorder="1" applyAlignment="1">
      <alignment horizontal="right" vertical="top" wrapText="1"/>
    </xf>
    <xf numFmtId="2" fontId="11" fillId="3" borderId="26" xfId="3" applyNumberFormat="1" applyFont="1" applyFill="1" applyBorder="1" applyAlignment="1">
      <alignment horizontal="right" vertical="top" wrapText="1"/>
    </xf>
    <xf numFmtId="0" fontId="11" fillId="0" borderId="25" xfId="3" applyFont="1" applyFill="1" applyBorder="1" applyAlignment="1">
      <alignment horizontal="left" vertical="top" wrapText="1"/>
    </xf>
    <xf numFmtId="2" fontId="13" fillId="0" borderId="10" xfId="3" applyNumberFormat="1" applyFont="1" applyFill="1" applyBorder="1" applyAlignment="1">
      <alignment horizontal="right" vertical="top" wrapText="1"/>
    </xf>
    <xf numFmtId="2" fontId="13" fillId="0" borderId="13" xfId="3" applyNumberFormat="1" applyFont="1" applyFill="1" applyBorder="1" applyAlignment="1">
      <alignment horizontal="right" vertical="top" wrapText="1"/>
    </xf>
    <xf numFmtId="2" fontId="13" fillId="3" borderId="10" xfId="3" applyNumberFormat="1" applyFont="1" applyFill="1" applyBorder="1" applyAlignment="1">
      <alignment horizontal="right" vertical="top" wrapText="1"/>
    </xf>
    <xf numFmtId="2" fontId="13" fillId="3" borderId="26" xfId="3" applyNumberFormat="1" applyFont="1" applyFill="1" applyBorder="1" applyAlignment="1">
      <alignment horizontal="right" vertical="top" wrapText="1"/>
    </xf>
    <xf numFmtId="2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0" fontId="11" fillId="0" borderId="25" xfId="3" applyFont="1" applyFill="1" applyBorder="1" applyAlignment="1">
      <alignment vertical="top"/>
    </xf>
    <xf numFmtId="0" fontId="11" fillId="0" borderId="10" xfId="3" applyFont="1" applyFill="1" applyBorder="1" applyAlignment="1">
      <alignment horizontal="center" wrapText="1"/>
    </xf>
    <xf numFmtId="2" fontId="11" fillId="0" borderId="0" xfId="3" applyNumberFormat="1" applyFont="1" applyFill="1" applyBorder="1" applyAlignment="1">
      <alignment vertical="center"/>
    </xf>
    <xf numFmtId="0" fontId="11" fillId="0" borderId="22" xfId="3" applyFont="1" applyFill="1" applyBorder="1" applyAlignment="1">
      <alignment vertical="center" wrapText="1"/>
    </xf>
    <xf numFmtId="2" fontId="11" fillId="3" borderId="1" xfId="3" applyNumberFormat="1" applyFont="1" applyFill="1" applyBorder="1" applyAlignment="1">
      <alignment horizontal="right" vertical="center" wrapText="1"/>
    </xf>
    <xf numFmtId="2" fontId="11" fillId="0" borderId="1" xfId="3" applyNumberFormat="1" applyFont="1" applyFill="1" applyBorder="1" applyAlignment="1">
      <alignment horizontal="right" vertical="center"/>
    </xf>
    <xf numFmtId="2" fontId="11" fillId="0" borderId="1" xfId="3" applyNumberFormat="1" applyFont="1" applyFill="1" applyBorder="1" applyAlignment="1">
      <alignment vertical="center"/>
    </xf>
    <xf numFmtId="2" fontId="6" fillId="0" borderId="3" xfId="3" applyNumberFormat="1" applyFont="1" applyFill="1" applyBorder="1" applyAlignment="1">
      <alignment vertical="center"/>
    </xf>
    <xf numFmtId="0" fontId="11" fillId="0" borderId="22" xfId="3" applyFont="1" applyFill="1" applyBorder="1" applyAlignment="1">
      <alignment vertical="top"/>
    </xf>
    <xf numFmtId="0" fontId="96" fillId="0" borderId="27" xfId="3" applyFont="1" applyFill="1" applyBorder="1" applyAlignment="1">
      <alignment vertical="top" wrapText="1"/>
    </xf>
    <xf numFmtId="0" fontId="11" fillId="0" borderId="28" xfId="3" applyFont="1" applyFill="1" applyBorder="1" applyAlignment="1">
      <alignment horizontal="center" vertical="center" wrapText="1"/>
    </xf>
    <xf numFmtId="2" fontId="11" fillId="0" borderId="28" xfId="3" applyNumberFormat="1" applyFont="1" applyFill="1" applyBorder="1" applyAlignment="1">
      <alignment horizontal="right" vertical="center" wrapText="1"/>
    </xf>
    <xf numFmtId="2" fontId="13" fillId="0" borderId="28" xfId="3" applyNumberFormat="1" applyFont="1" applyFill="1" applyBorder="1" applyAlignment="1">
      <alignment vertical="center"/>
    </xf>
    <xf numFmtId="2" fontId="13" fillId="0" borderId="45" xfId="3" applyNumberFormat="1" applyFont="1" applyFill="1" applyBorder="1" applyAlignment="1">
      <alignment vertical="center"/>
    </xf>
    <xf numFmtId="2" fontId="13" fillId="3" borderId="28" xfId="3" applyNumberFormat="1" applyFont="1" applyFill="1" applyBorder="1" applyAlignment="1">
      <alignment vertical="center"/>
    </xf>
    <xf numFmtId="2" fontId="13" fillId="3" borderId="29" xfId="3" applyNumberFormat="1" applyFont="1" applyFill="1" applyBorder="1" applyAlignment="1">
      <alignment vertical="center"/>
    </xf>
    <xf numFmtId="0" fontId="6" fillId="0" borderId="71" xfId="3" applyFont="1" applyFill="1" applyBorder="1" applyAlignment="1">
      <alignment vertical="center" wrapText="1"/>
    </xf>
    <xf numFmtId="0" fontId="11" fillId="0" borderId="53" xfId="3" applyFont="1" applyFill="1" applyBorder="1" applyAlignment="1">
      <alignment horizontal="center" vertical="center" wrapText="1"/>
    </xf>
    <xf numFmtId="195" fontId="11" fillId="3" borderId="53" xfId="3" applyNumberFormat="1" applyFont="1" applyFill="1" applyBorder="1" applyAlignment="1">
      <alignment horizontal="right" vertical="center" wrapText="1"/>
    </xf>
    <xf numFmtId="195" fontId="11" fillId="0" borderId="53" xfId="3" applyNumberFormat="1" applyFont="1" applyFill="1" applyBorder="1" applyAlignment="1">
      <alignment horizontal="right" vertical="center" wrapText="1"/>
    </xf>
    <xf numFmtId="195" fontId="11" fillId="0" borderId="17" xfId="3" applyNumberFormat="1" applyFont="1" applyFill="1" applyBorder="1" applyAlignment="1">
      <alignment horizontal="right" vertical="center" wrapText="1"/>
    </xf>
    <xf numFmtId="195" fontId="11" fillId="0" borderId="20" xfId="3" applyNumberFormat="1" applyFont="1" applyFill="1" applyBorder="1" applyAlignment="1">
      <alignment horizontal="right" vertical="center" wrapText="1"/>
    </xf>
    <xf numFmtId="195" fontId="11" fillId="3" borderId="17" xfId="3" applyNumberFormat="1" applyFont="1" applyFill="1" applyBorder="1" applyAlignment="1">
      <alignment horizontal="right" vertical="center" wrapText="1"/>
    </xf>
    <xf numFmtId="195" fontId="11" fillId="3" borderId="21" xfId="3" applyNumberFormat="1" applyFont="1" applyFill="1" applyBorder="1" applyAlignment="1">
      <alignment horizontal="right" vertical="center" wrapText="1"/>
    </xf>
    <xf numFmtId="195" fontId="11" fillId="3" borderId="10" xfId="3" applyNumberFormat="1" applyFont="1" applyFill="1" applyBorder="1" applyAlignment="1">
      <alignment horizontal="right" vertical="center" wrapText="1"/>
    </xf>
    <xf numFmtId="195" fontId="11" fillId="0" borderId="10" xfId="3" applyNumberFormat="1" applyFont="1" applyFill="1" applyBorder="1" applyAlignment="1">
      <alignment horizontal="right" vertical="center" wrapText="1"/>
    </xf>
    <xf numFmtId="166" fontId="11" fillId="0" borderId="10" xfId="3" applyNumberFormat="1" applyFont="1" applyFill="1" applyBorder="1" applyAlignment="1">
      <alignment vertical="center"/>
    </xf>
    <xf numFmtId="166" fontId="11" fillId="0" borderId="12" xfId="3" applyNumberFormat="1" applyFont="1" applyFill="1" applyBorder="1" applyAlignment="1">
      <alignment vertical="center"/>
    </xf>
    <xf numFmtId="166" fontId="11" fillId="3" borderId="10" xfId="3" applyNumberFormat="1" applyFont="1" applyFill="1" applyBorder="1" applyAlignment="1">
      <alignment vertical="center"/>
    </xf>
    <xf numFmtId="166" fontId="11" fillId="3" borderId="26" xfId="3" applyNumberFormat="1" applyFont="1" applyFill="1" applyBorder="1" applyAlignment="1">
      <alignment vertical="center"/>
    </xf>
    <xf numFmtId="195" fontId="11" fillId="0" borderId="10" xfId="3" applyNumberFormat="1" applyFont="1" applyFill="1" applyBorder="1" applyAlignment="1">
      <alignment horizontal="right" vertical="center"/>
    </xf>
    <xf numFmtId="195" fontId="11" fillId="0" borderId="10" xfId="3" applyNumberFormat="1" applyFont="1" applyFill="1" applyBorder="1" applyAlignment="1">
      <alignment vertical="center"/>
    </xf>
    <xf numFmtId="195" fontId="11" fillId="0" borderId="12" xfId="3" applyNumberFormat="1" applyFont="1" applyFill="1" applyBorder="1" applyAlignment="1">
      <alignment vertical="center"/>
    </xf>
    <xf numFmtId="195" fontId="11" fillId="3" borderId="10" xfId="3" applyNumberFormat="1" applyFont="1" applyFill="1" applyBorder="1" applyAlignment="1">
      <alignment vertical="center"/>
    </xf>
    <xf numFmtId="0" fontId="6" fillId="0" borderId="25" xfId="3" applyFont="1" applyFill="1" applyBorder="1" applyAlignment="1">
      <alignment vertical="center" wrapText="1"/>
    </xf>
    <xf numFmtId="167" fontId="11" fillId="3" borderId="10" xfId="3" applyNumberFormat="1" applyFont="1" applyFill="1" applyBorder="1" applyAlignment="1">
      <alignment horizontal="right" vertical="center" wrapText="1"/>
    </xf>
    <xf numFmtId="167" fontId="11" fillId="0" borderId="10" xfId="3" applyNumberFormat="1" applyFont="1" applyFill="1" applyBorder="1" applyAlignment="1">
      <alignment horizontal="right" vertical="center"/>
    </xf>
    <xf numFmtId="167" fontId="11" fillId="0" borderId="10" xfId="3" applyNumberFormat="1" applyFont="1" applyFill="1" applyBorder="1" applyAlignment="1">
      <alignment horizontal="right" vertical="center" wrapText="1"/>
    </xf>
    <xf numFmtId="167" fontId="11" fillId="0" borderId="12" xfId="3" applyNumberFormat="1" applyFont="1" applyFill="1" applyBorder="1" applyAlignment="1">
      <alignment horizontal="right" vertical="center" wrapText="1"/>
    </xf>
    <xf numFmtId="167" fontId="11" fillId="3" borderId="26" xfId="3" applyNumberFormat="1" applyFont="1" applyFill="1" applyBorder="1" applyAlignment="1">
      <alignment horizontal="right" vertical="center" wrapText="1"/>
    </xf>
    <xf numFmtId="167" fontId="11" fillId="3" borderId="10" xfId="3" applyNumberFormat="1" applyFont="1" applyFill="1" applyBorder="1" applyAlignment="1">
      <alignment vertical="center"/>
    </xf>
    <xf numFmtId="167" fontId="11" fillId="0" borderId="10" xfId="3" applyNumberFormat="1" applyFont="1" applyFill="1" applyBorder="1" applyAlignment="1">
      <alignment vertical="center"/>
    </xf>
    <xf numFmtId="167" fontId="11" fillId="0" borderId="12" xfId="3" applyNumberFormat="1" applyFont="1" applyFill="1" applyBorder="1" applyAlignment="1">
      <alignment vertical="center"/>
    </xf>
    <xf numFmtId="167" fontId="11" fillId="3" borderId="26" xfId="3" applyNumberFormat="1" applyFont="1" applyFill="1" applyBorder="1" applyAlignment="1">
      <alignment vertical="center"/>
    </xf>
    <xf numFmtId="0" fontId="11" fillId="0" borderId="25" xfId="3" applyFont="1" applyFill="1" applyBorder="1" applyAlignment="1">
      <alignment vertical="center" wrapText="1"/>
    </xf>
    <xf numFmtId="168" fontId="11" fillId="0" borderId="10" xfId="3" applyNumberFormat="1" applyFont="1" applyFill="1" applyBorder="1" applyAlignment="1">
      <alignment vertical="center"/>
    </xf>
    <xf numFmtId="168" fontId="11" fillId="0" borderId="12" xfId="3" applyNumberFormat="1" applyFont="1" applyFill="1" applyBorder="1" applyAlignment="1">
      <alignment vertical="center"/>
    </xf>
    <xf numFmtId="168" fontId="11" fillId="3" borderId="10" xfId="3" applyNumberFormat="1" applyFont="1" applyFill="1" applyBorder="1" applyAlignment="1">
      <alignment vertical="center"/>
    </xf>
    <xf numFmtId="168" fontId="11" fillId="3" borderId="26" xfId="3" applyNumberFormat="1" applyFont="1" applyFill="1" applyBorder="1" applyAlignment="1">
      <alignment vertical="center"/>
    </xf>
    <xf numFmtId="0" fontId="96" fillId="0" borderId="27" xfId="3" applyFont="1" applyFill="1" applyBorder="1" applyAlignment="1">
      <alignment vertical="center" wrapText="1"/>
    </xf>
    <xf numFmtId="4" fontId="13" fillId="0" borderId="28" xfId="3" applyNumberFormat="1" applyFont="1" applyFill="1" applyBorder="1" applyAlignment="1">
      <alignment vertical="center"/>
    </xf>
    <xf numFmtId="4" fontId="13" fillId="0" borderId="72" xfId="3" applyNumberFormat="1" applyFont="1" applyFill="1" applyBorder="1" applyAlignment="1">
      <alignment vertical="center"/>
    </xf>
    <xf numFmtId="4" fontId="13" fillId="3" borderId="28" xfId="3" applyNumberFormat="1" applyFont="1" applyFill="1" applyBorder="1" applyAlignment="1">
      <alignment vertical="center"/>
    </xf>
    <xf numFmtId="4" fontId="13" fillId="3" borderId="29" xfId="3" applyNumberFormat="1" applyFont="1" applyFill="1" applyBorder="1" applyAlignment="1">
      <alignment vertical="center"/>
    </xf>
    <xf numFmtId="2" fontId="11" fillId="3" borderId="17" xfId="3" applyNumberFormat="1" applyFont="1" applyFill="1" applyBorder="1" applyAlignment="1">
      <alignment horizontal="right" vertical="center" wrapText="1"/>
    </xf>
    <xf numFmtId="4" fontId="6" fillId="0" borderId="17" xfId="3" applyNumberFormat="1" applyFont="1" applyFill="1" applyBorder="1" applyAlignment="1">
      <alignment vertical="center"/>
    </xf>
    <xf numFmtId="4" fontId="6" fillId="0" borderId="10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top" wrapText="1"/>
    </xf>
    <xf numFmtId="0" fontId="11" fillId="0" borderId="4" xfId="3" applyFont="1" applyFill="1" applyBorder="1" applyAlignment="1">
      <alignment horizontal="center" vertical="top" wrapText="1"/>
    </xf>
    <xf numFmtId="2" fontId="11" fillId="0" borderId="4" xfId="3" applyNumberFormat="1" applyFont="1" applyFill="1" applyBorder="1" applyAlignment="1">
      <alignment horizontal="right" vertical="center"/>
    </xf>
    <xf numFmtId="4" fontId="11" fillId="0" borderId="4" xfId="3" applyNumberFormat="1" applyFont="1" applyFill="1" applyBorder="1" applyAlignment="1">
      <alignment vertical="center"/>
    </xf>
    <xf numFmtId="4" fontId="11" fillId="0" borderId="5" xfId="3" applyNumberFormat="1" applyFont="1" applyFill="1" applyBorder="1" applyAlignment="1">
      <alignment vertical="center"/>
    </xf>
    <xf numFmtId="2" fontId="11" fillId="0" borderId="31" xfId="3" applyNumberFormat="1" applyFont="1" applyFill="1" applyBorder="1" applyAlignment="1">
      <alignment horizontal="right" vertical="center"/>
    </xf>
    <xf numFmtId="2" fontId="11" fillId="0" borderId="0" xfId="3" applyNumberFormat="1" applyFont="1" applyFill="1" applyBorder="1" applyAlignment="1">
      <alignment horizontal="right" vertical="center"/>
    </xf>
    <xf numFmtId="0" fontId="11" fillId="0" borderId="22" xfId="3" applyFont="1" applyFill="1" applyBorder="1" applyAlignment="1">
      <alignment vertical="top" wrapText="1"/>
    </xf>
    <xf numFmtId="0" fontId="11" fillId="0" borderId="1" xfId="3" applyFont="1" applyFill="1" applyBorder="1" applyAlignment="1">
      <alignment horizontal="center" vertical="top" wrapText="1"/>
    </xf>
    <xf numFmtId="4" fontId="11" fillId="0" borderId="1" xfId="3" applyNumberFormat="1" applyFont="1" applyFill="1" applyBorder="1" applyAlignment="1">
      <alignment vertical="center"/>
    </xf>
    <xf numFmtId="4" fontId="11" fillId="0" borderId="14" xfId="3" applyNumberFormat="1" applyFont="1" applyFill="1" applyBorder="1" applyAlignment="1">
      <alignment vertical="center"/>
    </xf>
    <xf numFmtId="2" fontId="11" fillId="0" borderId="23" xfId="3" applyNumberFormat="1" applyFont="1" applyFill="1" applyBorder="1" applyAlignment="1">
      <alignment horizontal="right" vertical="center"/>
    </xf>
    <xf numFmtId="2" fontId="11" fillId="0" borderId="1" xfId="3" applyNumberFormat="1" applyFont="1" applyFill="1" applyBorder="1" applyAlignment="1">
      <alignment horizontal="right" vertical="center" wrapText="1"/>
    </xf>
    <xf numFmtId="2" fontId="6" fillId="0" borderId="10" xfId="3" applyNumberFormat="1" applyFont="1" applyFill="1" applyBorder="1"/>
    <xf numFmtId="2" fontId="6" fillId="0" borderId="26" xfId="3" applyNumberFormat="1" applyFont="1" applyFill="1" applyBorder="1"/>
    <xf numFmtId="2" fontId="6" fillId="0" borderId="0" xfId="3" applyNumberFormat="1" applyFont="1" applyFill="1" applyBorder="1"/>
    <xf numFmtId="4" fontId="11" fillId="0" borderId="46" xfId="3" applyNumberFormat="1" applyFont="1" applyFill="1" applyBorder="1" applyAlignment="1">
      <alignment vertical="center"/>
    </xf>
    <xf numFmtId="2" fontId="11" fillId="0" borderId="29" xfId="3" applyNumberFormat="1" applyFont="1" applyFill="1" applyBorder="1" applyAlignment="1">
      <alignment horizontal="right" vertical="center"/>
    </xf>
    <xf numFmtId="0" fontId="11" fillId="0" borderId="0" xfId="3" applyFont="1" applyFill="1" applyBorder="1"/>
    <xf numFmtId="0" fontId="11" fillId="0" borderId="0" xfId="3" applyFont="1" applyFill="1"/>
    <xf numFmtId="2" fontId="6" fillId="0" borderId="0" xfId="3" applyNumberFormat="1" applyFill="1"/>
    <xf numFmtId="195" fontId="11" fillId="0" borderId="26" xfId="3" applyNumberFormat="1" applyFont="1" applyFill="1" applyBorder="1" applyAlignment="1">
      <alignment vertical="center"/>
    </xf>
    <xf numFmtId="4" fontId="6" fillId="4" borderId="17" xfId="3" applyNumberFormat="1" applyFont="1" applyFill="1" applyBorder="1" applyAlignment="1">
      <alignment vertical="center"/>
    </xf>
    <xf numFmtId="4" fontId="6" fillId="4" borderId="10" xfId="3" applyNumberFormat="1" applyFont="1" applyFill="1" applyBorder="1" applyAlignment="1">
      <alignment vertical="center"/>
    </xf>
    <xf numFmtId="4" fontId="13" fillId="4" borderId="28" xfId="3" applyNumberFormat="1" applyFont="1" applyFill="1" applyBorder="1" applyAlignment="1">
      <alignment vertical="center"/>
    </xf>
    <xf numFmtId="2" fontId="2" fillId="0" borderId="9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2" fontId="16" fillId="0" borderId="10" xfId="0" applyNumberFormat="1" applyFont="1" applyFill="1" applyBorder="1" applyAlignment="1">
      <alignment horizontal="center"/>
    </xf>
    <xf numFmtId="2" fontId="16" fillId="3" borderId="10" xfId="0" applyNumberFormat="1" applyFont="1" applyFill="1" applyBorder="1" applyAlignment="1">
      <alignment horizontal="center"/>
    </xf>
    <xf numFmtId="0" fontId="99" fillId="0" borderId="0" xfId="0" applyFont="1" applyFill="1"/>
    <xf numFmtId="0" fontId="99" fillId="0" borderId="0" xfId="0" applyFont="1" applyFill="1" applyAlignment="1">
      <alignment horizontal="center"/>
    </xf>
    <xf numFmtId="0" fontId="100" fillId="0" borderId="0" xfId="0" applyFont="1" applyFill="1"/>
    <xf numFmtId="0" fontId="2" fillId="0" borderId="0" xfId="0" applyFont="1" applyFill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2" fontId="101" fillId="3" borderId="10" xfId="3" applyNumberFormat="1" applyFont="1" applyFill="1" applyBorder="1" applyAlignment="1">
      <alignment horizontal="right" vertical="center" wrapText="1"/>
    </xf>
    <xf numFmtId="2" fontId="101" fillId="0" borderId="10" xfId="3" applyNumberFormat="1" applyFont="1" applyFill="1" applyBorder="1" applyAlignment="1">
      <alignment horizontal="right" vertical="center" wrapText="1"/>
    </xf>
    <xf numFmtId="2" fontId="101" fillId="0" borderId="13" xfId="3" applyNumberFormat="1" applyFont="1" applyFill="1" applyBorder="1" applyAlignment="1">
      <alignment horizontal="right" vertical="center" wrapText="1"/>
    </xf>
    <xf numFmtId="2" fontId="101" fillId="3" borderId="26" xfId="3" applyNumberFormat="1" applyFont="1" applyFill="1" applyBorder="1" applyAlignment="1">
      <alignment horizontal="right" vertical="center" wrapText="1"/>
    </xf>
    <xf numFmtId="4" fontId="2" fillId="3" borderId="11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" xfId="0" applyFont="1" applyFill="1" applyBorder="1"/>
    <xf numFmtId="0" fontId="2" fillId="0" borderId="73" xfId="0" applyFont="1" applyFill="1" applyBorder="1"/>
    <xf numFmtId="0" fontId="2" fillId="0" borderId="24" xfId="0" applyFont="1" applyFill="1" applyBorder="1"/>
    <xf numFmtId="0" fontId="1" fillId="0" borderId="24" xfId="0" applyFont="1" applyFill="1" applyBorder="1"/>
    <xf numFmtId="0" fontId="1" fillId="0" borderId="74" xfId="0" applyFont="1" applyFill="1" applyBorder="1" applyAlignment="1">
      <alignment horizontal="center"/>
    </xf>
    <xf numFmtId="2" fontId="15" fillId="3" borderId="75" xfId="0" applyNumberFormat="1" applyFont="1" applyFill="1" applyBorder="1" applyAlignment="1">
      <alignment horizontal="center"/>
    </xf>
    <xf numFmtId="2" fontId="15" fillId="0" borderId="75" xfId="0" applyNumberFormat="1" applyFont="1" applyFill="1" applyBorder="1" applyAlignment="1">
      <alignment horizontal="center"/>
    </xf>
    <xf numFmtId="0" fontId="1" fillId="0" borderId="75" xfId="0" applyFont="1" applyFill="1" applyBorder="1"/>
    <xf numFmtId="0" fontId="2" fillId="3" borderId="75" xfId="0" applyFont="1" applyFill="1" applyBorder="1" applyAlignment="1">
      <alignment horizontal="center"/>
    </xf>
    <xf numFmtId="2" fontId="2" fillId="0" borderId="75" xfId="0" applyNumberFormat="1" applyFont="1" applyFill="1" applyBorder="1" applyAlignment="1">
      <alignment horizontal="center"/>
    </xf>
    <xf numFmtId="2" fontId="2" fillId="3" borderId="75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2" fontId="0" fillId="3" borderId="7" xfId="0" applyNumberFormat="1" applyFill="1" applyBorder="1"/>
    <xf numFmtId="2" fontId="0" fillId="3" borderId="1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0" fillId="3" borderId="5" xfId="0" applyFill="1" applyBorder="1"/>
    <xf numFmtId="0" fontId="1" fillId="3" borderId="5" xfId="0" applyFont="1" applyFill="1" applyBorder="1"/>
    <xf numFmtId="0" fontId="0" fillId="3" borderId="6" xfId="0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2" fontId="16" fillId="3" borderId="7" xfId="0" applyNumberFormat="1" applyFont="1" applyFill="1" applyBorder="1" applyAlignment="1">
      <alignment horizontal="center"/>
    </xf>
    <xf numFmtId="2" fontId="16" fillId="3" borderId="13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2" fillId="0" borderId="0" xfId="0" applyFont="1" applyFill="1"/>
    <xf numFmtId="0" fontId="102" fillId="0" borderId="10" xfId="0" applyFont="1" applyFill="1" applyBorder="1"/>
    <xf numFmtId="2" fontId="102" fillId="0" borderId="10" xfId="0" applyNumberFormat="1" applyFont="1" applyFill="1" applyBorder="1"/>
    <xf numFmtId="4" fontId="16" fillId="3" borderId="13" xfId="0" applyNumberFormat="1" applyFont="1" applyFill="1" applyBorder="1" applyAlignment="1">
      <alignment horizontal="center"/>
    </xf>
    <xf numFmtId="4" fontId="16" fillId="0" borderId="13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2" fontId="102" fillId="0" borderId="0" xfId="0" applyNumberFormat="1" applyFont="1" applyFill="1" applyBorder="1"/>
    <xf numFmtId="0" fontId="102" fillId="0" borderId="0" xfId="0" applyFont="1" applyFill="1" applyBorder="1"/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30" xfId="0" applyFont="1" applyFill="1" applyBorder="1"/>
    <xf numFmtId="0" fontId="1" fillId="3" borderId="3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164" fontId="1" fillId="3" borderId="31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4" fontId="1" fillId="3" borderId="31" xfId="0" applyNumberFormat="1" applyFont="1" applyFill="1" applyBorder="1" applyAlignment="1">
      <alignment horizontal="center"/>
    </xf>
    <xf numFmtId="16" fontId="1" fillId="0" borderId="30" xfId="0" applyNumberFormat="1" applyFont="1" applyFill="1" applyBorder="1" applyAlignment="1">
      <alignment horizontal="center"/>
    </xf>
    <xf numFmtId="2" fontId="2" fillId="3" borderId="31" xfId="0" applyNumberFormat="1" applyFont="1" applyFill="1" applyBorder="1" applyAlignment="1">
      <alignment horizontal="center"/>
    </xf>
    <xf numFmtId="2" fontId="1" fillId="3" borderId="31" xfId="0" applyNumberFormat="1" applyFont="1" applyFill="1" applyBorder="1" applyAlignment="1">
      <alignment horizontal="center"/>
    </xf>
    <xf numFmtId="0" fontId="0" fillId="0" borderId="30" xfId="0" applyFill="1" applyBorder="1"/>
    <xf numFmtId="0" fontId="1" fillId="0" borderId="77" xfId="0" applyFont="1" applyFill="1" applyBorder="1"/>
    <xf numFmtId="2" fontId="2" fillId="3" borderId="26" xfId="0" applyNumberFormat="1" applyFont="1" applyFill="1" applyBorder="1" applyAlignment="1">
      <alignment horizontal="center"/>
    </xf>
    <xf numFmtId="16" fontId="1" fillId="0" borderId="22" xfId="0" applyNumberFormat="1" applyFont="1" applyFill="1" applyBorder="1" applyAlignment="1">
      <alignment horizontal="center"/>
    </xf>
    <xf numFmtId="16" fontId="1" fillId="0" borderId="56" xfId="0" applyNumberFormat="1" applyFont="1" applyFill="1" applyBorder="1" applyAlignment="1">
      <alignment horizontal="center"/>
    </xf>
    <xf numFmtId="2" fontId="1" fillId="0" borderId="82" xfId="0" applyNumberFormat="1" applyFont="1" applyFill="1" applyBorder="1" applyAlignment="1">
      <alignment horizontal="center"/>
    </xf>
    <xf numFmtId="0" fontId="1" fillId="0" borderId="81" xfId="0" applyFont="1" applyFill="1" applyBorder="1" applyAlignment="1">
      <alignment horizontal="center"/>
    </xf>
    <xf numFmtId="164" fontId="1" fillId="0" borderId="82" xfId="0" applyNumberFormat="1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2" fontId="1" fillId="0" borderId="32" xfId="0" applyNumberFormat="1" applyFont="1" applyFill="1" applyBorder="1" applyAlignment="1">
      <alignment horizontal="center"/>
    </xf>
    <xf numFmtId="0" fontId="1" fillId="0" borderId="56" xfId="0" applyFont="1" applyFill="1" applyBorder="1"/>
    <xf numFmtId="0" fontId="1" fillId="0" borderId="22" xfId="0" applyFont="1" applyFill="1" applyBorder="1" applyAlignment="1">
      <alignment horizontal="center"/>
    </xf>
    <xf numFmtId="2" fontId="1" fillId="0" borderId="79" xfId="0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77" xfId="0" applyFont="1" applyFill="1" applyBorder="1" applyAlignment="1">
      <alignment horizontal="center"/>
    </xf>
    <xf numFmtId="2" fontId="1" fillId="0" borderId="76" xfId="0" applyNumberFormat="1" applyFont="1" applyFill="1" applyBorder="1" applyAlignment="1">
      <alignment horizontal="center"/>
    </xf>
    <xf numFmtId="0" fontId="0" fillId="0" borderId="80" xfId="0" applyFill="1" applyBorder="1"/>
    <xf numFmtId="49" fontId="1" fillId="0" borderId="56" xfId="0" applyNumberFormat="1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0" borderId="31" xfId="0" applyNumberFormat="1" applyFont="1" applyFill="1" applyBorder="1" applyAlignment="1">
      <alignment horizontal="center"/>
    </xf>
    <xf numFmtId="2" fontId="1" fillId="0" borderId="7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0" fontId="1" fillId="0" borderId="82" xfId="0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164" fontId="1" fillId="0" borderId="31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2" fontId="2" fillId="0" borderId="83" xfId="0" applyNumberFormat="1" applyFont="1" applyFill="1" applyBorder="1" applyAlignment="1">
      <alignment horizontal="center"/>
    </xf>
    <xf numFmtId="2" fontId="1" fillId="0" borderId="26" xfId="0" applyNumberFormat="1" applyFont="1" applyFill="1" applyBorder="1" applyAlignment="1">
      <alignment horizontal="center"/>
    </xf>
    <xf numFmtId="0" fontId="0" fillId="0" borderId="31" xfId="0" applyFill="1" applyBorder="1"/>
    <xf numFmtId="0" fontId="1" fillId="0" borderId="31" xfId="0" applyFont="1" applyFill="1" applyBorder="1"/>
    <xf numFmtId="0" fontId="1" fillId="0" borderId="78" xfId="0" applyFont="1" applyFill="1" applyBorder="1"/>
    <xf numFmtId="0" fontId="1" fillId="0" borderId="26" xfId="0" applyFont="1" applyFill="1" applyBorder="1"/>
    <xf numFmtId="0" fontId="1" fillId="0" borderId="23" xfId="0" applyFont="1" applyFill="1" applyBorder="1"/>
    <xf numFmtId="2" fontId="15" fillId="0" borderId="83" xfId="0" applyNumberFormat="1" applyFont="1" applyFill="1" applyBorder="1" applyAlignment="1">
      <alignment horizontal="center"/>
    </xf>
    <xf numFmtId="2" fontId="2" fillId="0" borderId="76" xfId="0" applyNumberFormat="1" applyFont="1" applyFill="1" applyBorder="1" applyAlignment="1">
      <alignment horizontal="center"/>
    </xf>
    <xf numFmtId="4" fontId="16" fillId="0" borderId="82" xfId="0" applyNumberFormat="1" applyFont="1" applyFill="1" applyBorder="1" applyAlignment="1">
      <alignment horizontal="center"/>
    </xf>
    <xf numFmtId="2" fontId="15" fillId="0" borderId="26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2" fillId="0" borderId="46" xfId="0" applyFont="1" applyFill="1" applyBorder="1"/>
    <xf numFmtId="0" fontId="2" fillId="0" borderId="72" xfId="0" applyFont="1" applyFill="1" applyBorder="1"/>
    <xf numFmtId="0" fontId="1" fillId="0" borderId="72" xfId="0" applyFont="1" applyFill="1" applyBorder="1"/>
    <xf numFmtId="0" fontId="2" fillId="0" borderId="45" xfId="0" applyFont="1" applyFill="1" applyBorder="1"/>
    <xf numFmtId="0" fontId="1" fillId="0" borderId="28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2" fontId="2" fillId="3" borderId="45" xfId="0" applyNumberFormat="1" applyFont="1" applyFill="1" applyBorder="1" applyAlignment="1">
      <alignment horizontal="center"/>
    </xf>
    <xf numFmtId="2" fontId="2" fillId="3" borderId="28" xfId="0" applyNumberFormat="1" applyFont="1" applyFill="1" applyBorder="1" applyAlignment="1">
      <alignment horizontal="center"/>
    </xf>
    <xf numFmtId="2" fontId="1" fillId="3" borderId="28" xfId="0" applyNumberFormat="1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2" fontId="1" fillId="0" borderId="29" xfId="0" applyNumberFormat="1" applyFont="1" applyFill="1" applyBorder="1" applyAlignment="1">
      <alignment horizontal="center"/>
    </xf>
    <xf numFmtId="0" fontId="0" fillId="0" borderId="56" xfId="0" applyFill="1" applyBorder="1"/>
    <xf numFmtId="2" fontId="1" fillId="3" borderId="76" xfId="0" applyNumberFormat="1" applyFont="1" applyFill="1" applyBorder="1" applyAlignment="1">
      <alignment horizontal="center"/>
    </xf>
    <xf numFmtId="0" fontId="1" fillId="0" borderId="85" xfId="0" applyFont="1" applyFill="1" applyBorder="1"/>
    <xf numFmtId="0" fontId="1" fillId="0" borderId="85" xfId="0" applyFont="1" applyFill="1" applyBorder="1" applyAlignment="1">
      <alignment horizontal="center"/>
    </xf>
    <xf numFmtId="2" fontId="16" fillId="3" borderId="9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54" xfId="0" applyFont="1" applyFill="1" applyBorder="1"/>
    <xf numFmtId="0" fontId="2" fillId="0" borderId="20" xfId="0" applyFont="1" applyFill="1" applyBorder="1"/>
    <xf numFmtId="0" fontId="2" fillId="0" borderId="48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46" xfId="0" applyFont="1" applyFill="1" applyBorder="1"/>
    <xf numFmtId="0" fontId="1" fillId="0" borderId="45" xfId="0" applyFont="1" applyFill="1" applyBorder="1"/>
    <xf numFmtId="0" fontId="1" fillId="0" borderId="50" xfId="0" applyFont="1" applyFill="1" applyBorder="1" applyAlignment="1">
      <alignment horizontal="center"/>
    </xf>
    <xf numFmtId="0" fontId="16" fillId="3" borderId="48" xfId="0" applyFont="1" applyFill="1" applyBorder="1" applyAlignment="1">
      <alignment horizontal="center"/>
    </xf>
    <xf numFmtId="2" fontId="16" fillId="3" borderId="50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2" fillId="3" borderId="83" xfId="0" applyFont="1" applyFill="1" applyBorder="1" applyAlignment="1">
      <alignment horizontal="center"/>
    </xf>
    <xf numFmtId="2" fontId="15" fillId="3" borderId="83" xfId="0" applyNumberFormat="1" applyFont="1" applyFill="1" applyBorder="1" applyAlignment="1">
      <alignment horizontal="center"/>
    </xf>
    <xf numFmtId="2" fontId="16" fillId="3" borderId="87" xfId="0" applyNumberFormat="1" applyFont="1" applyFill="1" applyBorder="1" applyAlignment="1">
      <alignment horizontal="center"/>
    </xf>
    <xf numFmtId="2" fontId="16" fillId="3" borderId="88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80" xfId="0" applyFont="1" applyFill="1" applyBorder="1" applyAlignment="1">
      <alignment horizontal="center"/>
    </xf>
    <xf numFmtId="2" fontId="1" fillId="3" borderId="78" xfId="0" applyNumberFormat="1" applyFont="1" applyFill="1" applyBorder="1" applyAlignment="1">
      <alignment horizontal="center"/>
    </xf>
    <xf numFmtId="2" fontId="1" fillId="3" borderId="82" xfId="0" applyNumberFormat="1" applyFont="1" applyFill="1" applyBorder="1" applyAlignment="1">
      <alignment horizontal="center"/>
    </xf>
    <xf numFmtId="0" fontId="1" fillId="0" borderId="81" xfId="0" applyFont="1" applyFill="1" applyBorder="1"/>
    <xf numFmtId="164" fontId="1" fillId="3" borderId="82" xfId="0" applyNumberFormat="1" applyFont="1" applyFill="1" applyBorder="1" applyAlignment="1">
      <alignment horizontal="center"/>
    </xf>
    <xf numFmtId="164" fontId="1" fillId="3" borderId="32" xfId="0" applyNumberFormat="1" applyFont="1" applyFill="1" applyBorder="1" applyAlignment="1">
      <alignment horizontal="center"/>
    </xf>
    <xf numFmtId="2" fontId="1" fillId="3" borderId="32" xfId="0" applyNumberFormat="1" applyFont="1" applyFill="1" applyBorder="1" applyAlignment="1">
      <alignment horizontal="center"/>
    </xf>
    <xf numFmtId="2" fontId="1" fillId="3" borderId="79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1" fillId="3" borderId="82" xfId="0" applyFont="1" applyFill="1" applyBorder="1" applyAlignment="1">
      <alignment horizontal="center"/>
    </xf>
    <xf numFmtId="2" fontId="2" fillId="3" borderId="83" xfId="0" applyNumberFormat="1" applyFont="1" applyFill="1" applyBorder="1" applyAlignment="1">
      <alignment horizontal="center"/>
    </xf>
    <xf numFmtId="2" fontId="1" fillId="3" borderId="26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31" xfId="0" applyFill="1" applyBorder="1"/>
    <xf numFmtId="0" fontId="1" fillId="3" borderId="31" xfId="0" applyFont="1" applyFill="1" applyBorder="1"/>
    <xf numFmtId="0" fontId="1" fillId="3" borderId="78" xfId="0" applyFont="1" applyFill="1" applyBorder="1"/>
    <xf numFmtId="0" fontId="1" fillId="3" borderId="26" xfId="0" applyFont="1" applyFill="1" applyBorder="1"/>
    <xf numFmtId="0" fontId="1" fillId="3" borderId="23" xfId="0" applyFont="1" applyFill="1" applyBorder="1"/>
    <xf numFmtId="2" fontId="2" fillId="3" borderId="76" xfId="0" applyNumberFormat="1" applyFont="1" applyFill="1" applyBorder="1" applyAlignment="1">
      <alignment horizontal="center"/>
    </xf>
    <xf numFmtId="4" fontId="16" fillId="3" borderId="82" xfId="0" applyNumberFormat="1" applyFont="1" applyFill="1" applyBorder="1" applyAlignment="1">
      <alignment horizontal="center"/>
    </xf>
    <xf numFmtId="2" fontId="15" fillId="3" borderId="26" xfId="0" applyNumberFormat="1" applyFont="1" applyFill="1" applyBorder="1" applyAlignment="1">
      <alignment horizontal="center"/>
    </xf>
    <xf numFmtId="2" fontId="1" fillId="3" borderId="29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2" fontId="1" fillId="3" borderId="4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5" fontId="1" fillId="3" borderId="26" xfId="0" applyNumberFormat="1" applyFont="1" applyFill="1" applyBorder="1" applyAlignment="1">
      <alignment horizontal="center"/>
    </xf>
    <xf numFmtId="0" fontId="104" fillId="0" borderId="0" xfId="3" applyFont="1" applyFill="1"/>
    <xf numFmtId="0" fontId="104" fillId="0" borderId="32" xfId="3" applyFont="1" applyFill="1" applyBorder="1"/>
    <xf numFmtId="0" fontId="104" fillId="0" borderId="0" xfId="3" applyFont="1" applyFill="1" applyBorder="1"/>
    <xf numFmtId="0" fontId="106" fillId="0" borderId="0" xfId="3" applyFont="1" applyFill="1"/>
    <xf numFmtId="165" fontId="6" fillId="0" borderId="0" xfId="3" applyNumberFormat="1" applyFont="1" applyFill="1" applyBorder="1"/>
    <xf numFmtId="0" fontId="104" fillId="0" borderId="0" xfId="3" applyFont="1" applyFill="1" applyAlignment="1">
      <alignment vertical="top"/>
    </xf>
    <xf numFmtId="4" fontId="6" fillId="0" borderId="0" xfId="3" applyNumberFormat="1" applyFont="1" applyFill="1" applyBorder="1"/>
    <xf numFmtId="4" fontId="6" fillId="0" borderId="0" xfId="3" applyNumberFormat="1" applyFill="1"/>
    <xf numFmtId="0" fontId="114" fillId="0" borderId="0" xfId="430" applyNumberFormat="1" applyFont="1" applyBorder="1" applyAlignment="1">
      <alignment horizontal="left"/>
    </xf>
    <xf numFmtId="0" fontId="114" fillId="0" borderId="0" xfId="430" applyNumberFormat="1" applyFont="1" applyBorder="1" applyAlignment="1">
      <alignment horizontal="right"/>
    </xf>
    <xf numFmtId="0" fontId="103" fillId="0" borderId="0" xfId="430" applyNumberFormat="1" applyFont="1" applyBorder="1" applyAlignment="1">
      <alignment horizontal="left"/>
    </xf>
    <xf numFmtId="0" fontId="17" fillId="0" borderId="0" xfId="431"/>
    <xf numFmtId="0" fontId="115" fillId="0" borderId="0" xfId="430" applyNumberFormat="1" applyFont="1" applyBorder="1" applyAlignment="1">
      <alignment horizontal="center" wrapText="1"/>
    </xf>
    <xf numFmtId="0" fontId="103" fillId="0" borderId="5" xfId="430" applyNumberFormat="1" applyFont="1" applyBorder="1" applyAlignment="1">
      <alignment horizontal="left" vertical="top"/>
    </xf>
    <xf numFmtId="0" fontId="103" fillId="0" borderId="0" xfId="430" applyNumberFormat="1" applyFont="1" applyBorder="1" applyAlignment="1">
      <alignment horizontal="left" vertical="top"/>
    </xf>
    <xf numFmtId="0" fontId="103" fillId="0" borderId="10" xfId="430" applyNumberFormat="1" applyFont="1" applyBorder="1" applyAlignment="1">
      <alignment horizontal="center" vertical="top" wrapText="1"/>
    </xf>
    <xf numFmtId="0" fontId="103" fillId="0" borderId="0" xfId="430" applyNumberFormat="1" applyFont="1" applyBorder="1" applyAlignment="1">
      <alignment horizontal="center" vertical="center" wrapText="1"/>
    </xf>
    <xf numFmtId="0" fontId="17" fillId="0" borderId="10" xfId="431" applyBorder="1" applyAlignment="1">
      <alignment horizontal="center" vertical="top"/>
    </xf>
    <xf numFmtId="0" fontId="103" fillId="0" borderId="10" xfId="430" applyNumberFormat="1" applyFont="1" applyBorder="1" applyAlignment="1">
      <alignment horizontal="center" vertical="top"/>
    </xf>
    <xf numFmtId="0" fontId="103" fillId="0" borderId="11" xfId="430" applyFont="1" applyBorder="1" applyAlignment="1">
      <alignment horizontal="left" vertical="top"/>
    </xf>
    <xf numFmtId="0" fontId="103" fillId="0" borderId="11" xfId="430" applyNumberFormat="1" applyFont="1" applyBorder="1" applyAlignment="1">
      <alignment vertical="top"/>
    </xf>
    <xf numFmtId="0" fontId="103" fillId="0" borderId="0" xfId="430" applyNumberFormat="1" applyFont="1" applyBorder="1" applyAlignment="1">
      <alignment horizontal="center"/>
    </xf>
    <xf numFmtId="0" fontId="103" fillId="0" borderId="0" xfId="430" applyNumberFormat="1" applyFont="1" applyBorder="1" applyAlignment="1">
      <alignment horizontal="justify" vertical="top" wrapText="1"/>
    </xf>
    <xf numFmtId="0" fontId="118" fillId="0" borderId="0" xfId="3" applyFont="1" applyFill="1" applyAlignment="1">
      <alignment horizontal="center" vertical="center" wrapText="1"/>
    </xf>
    <xf numFmtId="0" fontId="121" fillId="60" borderId="0" xfId="3" applyFont="1" applyFill="1"/>
    <xf numFmtId="0" fontId="11" fillId="60" borderId="0" xfId="3" applyFont="1" applyFill="1" applyBorder="1" applyAlignment="1">
      <alignment horizontal="center" vertical="center"/>
    </xf>
    <xf numFmtId="0" fontId="11" fillId="60" borderId="0" xfId="3" applyFont="1" applyFill="1"/>
    <xf numFmtId="49" fontId="10" fillId="60" borderId="19" xfId="3" applyNumberFormat="1" applyFont="1" applyFill="1" applyBorder="1" applyAlignment="1">
      <alignment vertical="center" wrapText="1"/>
    </xf>
    <xf numFmtId="49" fontId="10" fillId="60" borderId="52" xfId="3" applyNumberFormat="1" applyFont="1" applyFill="1" applyBorder="1" applyAlignment="1">
      <alignment vertical="center" wrapText="1"/>
    </xf>
    <xf numFmtId="0" fontId="10" fillId="60" borderId="44" xfId="3" applyFont="1" applyFill="1" applyBorder="1" applyAlignment="1">
      <alignment horizontal="center" vertical="center" wrapText="1"/>
    </xf>
    <xf numFmtId="0" fontId="10" fillId="60" borderId="83" xfId="3" applyFont="1" applyFill="1" applyBorder="1" applyAlignment="1">
      <alignment horizontal="center" vertical="center" wrapText="1"/>
    </xf>
    <xf numFmtId="0" fontId="6" fillId="60" borderId="71" xfId="3" applyFont="1" applyFill="1" applyBorder="1" applyAlignment="1">
      <alignment horizontal="left" vertical="center"/>
    </xf>
    <xf numFmtId="0" fontId="6" fillId="60" borderId="53" xfId="3" applyFont="1" applyFill="1" applyBorder="1" applyAlignment="1">
      <alignment horizontal="center" vertical="center"/>
    </xf>
    <xf numFmtId="2" fontId="6" fillId="60" borderId="53" xfId="3" applyNumberFormat="1" applyFont="1" applyFill="1" applyBorder="1" applyAlignment="1">
      <alignment horizontal="right" vertical="center"/>
    </xf>
    <xf numFmtId="4" fontId="6" fillId="60" borderId="53" xfId="3" applyNumberFormat="1" applyFont="1" applyFill="1" applyBorder="1" applyAlignment="1">
      <alignment horizontal="right" vertical="center"/>
    </xf>
    <xf numFmtId="4" fontId="6" fillId="60" borderId="92" xfId="3" applyNumberFormat="1" applyFont="1" applyFill="1" applyBorder="1" applyAlignment="1">
      <alignment horizontal="right" vertical="center"/>
    </xf>
    <xf numFmtId="0" fontId="6" fillId="60" borderId="22" xfId="3" applyFont="1" applyFill="1" applyBorder="1" applyAlignment="1">
      <alignment horizontal="left" vertical="center"/>
    </xf>
    <xf numFmtId="0" fontId="6" fillId="60" borderId="10" xfId="3" applyFont="1" applyFill="1" applyBorder="1" applyAlignment="1">
      <alignment horizontal="center" vertical="center"/>
    </xf>
    <xf numFmtId="2" fontId="6" fillId="60" borderId="1" xfId="3" applyNumberFormat="1" applyFont="1" applyFill="1" applyBorder="1" applyAlignment="1">
      <alignment horizontal="right" vertical="center"/>
    </xf>
    <xf numFmtId="4" fontId="6" fillId="60" borderId="1" xfId="3" applyNumberFormat="1" applyFont="1" applyFill="1" applyBorder="1" applyAlignment="1">
      <alignment horizontal="right" vertical="center"/>
    </xf>
    <xf numFmtId="4" fontId="6" fillId="60" borderId="23" xfId="3" applyNumberFormat="1" applyFont="1" applyFill="1" applyBorder="1" applyAlignment="1">
      <alignment horizontal="right" vertical="center"/>
    </xf>
    <xf numFmtId="0" fontId="6" fillId="60" borderId="1" xfId="3" applyFont="1" applyFill="1" applyBorder="1" applyAlignment="1">
      <alignment horizontal="center" vertical="center"/>
    </xf>
    <xf numFmtId="4" fontId="6" fillId="60" borderId="10" xfId="3" applyNumberFormat="1" applyFont="1" applyFill="1" applyBorder="1" applyAlignment="1">
      <alignment horizontal="right" vertical="center"/>
    </xf>
    <xf numFmtId="4" fontId="6" fillId="60" borderId="26" xfId="3" applyNumberFormat="1" applyFont="1" applyFill="1" applyBorder="1" applyAlignment="1">
      <alignment horizontal="right" vertical="center"/>
    </xf>
    <xf numFmtId="0" fontId="6" fillId="60" borderId="27" xfId="3" applyFont="1" applyFill="1" applyBorder="1" applyAlignment="1">
      <alignment horizontal="left" vertical="center"/>
    </xf>
    <xf numFmtId="0" fontId="6" fillId="60" borderId="28" xfId="3" applyFill="1" applyBorder="1" applyAlignment="1">
      <alignment horizontal="center" vertical="center"/>
    </xf>
    <xf numFmtId="2" fontId="6" fillId="60" borderId="28" xfId="3" applyNumberFormat="1" applyFill="1" applyBorder="1"/>
    <xf numFmtId="4" fontId="6" fillId="60" borderId="28" xfId="3" applyNumberFormat="1" applyFill="1" applyBorder="1" applyAlignment="1">
      <alignment horizontal="right" vertical="center"/>
    </xf>
    <xf numFmtId="4" fontId="6" fillId="60" borderId="28" xfId="3" applyNumberFormat="1" applyFont="1" applyFill="1" applyBorder="1" applyAlignment="1">
      <alignment horizontal="right" vertical="center"/>
    </xf>
    <xf numFmtId="4" fontId="6" fillId="60" borderId="29" xfId="3" applyNumberFormat="1" applyFill="1" applyBorder="1" applyAlignment="1">
      <alignment horizontal="right" vertical="center"/>
    </xf>
    <xf numFmtId="0" fontId="11" fillId="60" borderId="16" xfId="3" applyFont="1" applyFill="1" applyBorder="1" applyAlignment="1">
      <alignment horizontal="left" vertical="center" wrapText="1"/>
    </xf>
    <xf numFmtId="0" fontId="11" fillId="60" borderId="17" xfId="3" applyFont="1" applyFill="1" applyBorder="1" applyAlignment="1">
      <alignment horizontal="center" vertical="center" wrapText="1"/>
    </xf>
    <xf numFmtId="4" fontId="11" fillId="60" borderId="17" xfId="3" applyNumberFormat="1" applyFont="1" applyFill="1" applyBorder="1" applyAlignment="1">
      <alignment vertical="center"/>
    </xf>
    <xf numFmtId="4" fontId="122" fillId="60" borderId="17" xfId="3" applyNumberFormat="1" applyFont="1" applyFill="1" applyBorder="1" applyAlignment="1">
      <alignment horizontal="right" vertical="center"/>
    </xf>
    <xf numFmtId="4" fontId="122" fillId="60" borderId="20" xfId="3" applyNumberFormat="1" applyFont="1" applyFill="1" applyBorder="1" applyAlignment="1">
      <alignment horizontal="right" vertical="center"/>
    </xf>
    <xf numFmtId="4" fontId="123" fillId="60" borderId="17" xfId="3" applyNumberFormat="1" applyFont="1" applyFill="1" applyBorder="1" applyAlignment="1">
      <alignment horizontal="right" vertical="center"/>
    </xf>
    <xf numFmtId="4" fontId="123" fillId="60" borderId="87" xfId="3" applyNumberFormat="1" applyFont="1" applyFill="1" applyBorder="1" applyAlignment="1">
      <alignment horizontal="right" vertical="center"/>
    </xf>
    <xf numFmtId="0" fontId="11" fillId="60" borderId="25" xfId="3" applyFont="1" applyFill="1" applyBorder="1" applyAlignment="1">
      <alignment horizontal="left" vertical="center" wrapText="1"/>
    </xf>
    <xf numFmtId="0" fontId="11" fillId="60" borderId="10" xfId="3" applyFont="1" applyFill="1" applyBorder="1" applyAlignment="1">
      <alignment horizontal="center" vertical="center" wrapText="1"/>
    </xf>
    <xf numFmtId="4" fontId="11" fillId="60" borderId="10" xfId="3" applyNumberFormat="1" applyFont="1" applyFill="1" applyBorder="1" applyAlignment="1">
      <alignment vertical="center"/>
    </xf>
    <xf numFmtId="4" fontId="122" fillId="60" borderId="10" xfId="3" applyNumberFormat="1" applyFont="1" applyFill="1" applyBorder="1" applyAlignment="1">
      <alignment horizontal="right" vertical="center"/>
    </xf>
    <xf numFmtId="4" fontId="122" fillId="60" borderId="12" xfId="3" applyNumberFormat="1" applyFont="1" applyFill="1" applyBorder="1" applyAlignment="1">
      <alignment horizontal="right" vertical="center"/>
    </xf>
    <xf numFmtId="4" fontId="123" fillId="60" borderId="10" xfId="3" applyNumberFormat="1" applyFont="1" applyFill="1" applyBorder="1" applyAlignment="1">
      <alignment horizontal="right" vertical="center"/>
    </xf>
    <xf numFmtId="4" fontId="123" fillId="60" borderId="82" xfId="3" applyNumberFormat="1" applyFont="1" applyFill="1" applyBorder="1" applyAlignment="1">
      <alignment horizontal="right" vertical="center"/>
    </xf>
    <xf numFmtId="43" fontId="11" fillId="60" borderId="10" xfId="409" applyNumberFormat="1" applyFont="1" applyFill="1" applyBorder="1" applyAlignment="1">
      <alignment horizontal="right" vertical="center" wrapText="1"/>
    </xf>
    <xf numFmtId="4" fontId="11" fillId="60" borderId="10" xfId="3" applyNumberFormat="1" applyFont="1" applyFill="1" applyBorder="1" applyAlignment="1">
      <alignment horizontal="right" vertical="center"/>
    </xf>
    <xf numFmtId="4" fontId="11" fillId="60" borderId="12" xfId="3" applyNumberFormat="1" applyFont="1" applyFill="1" applyBorder="1" applyAlignment="1">
      <alignment horizontal="right" vertical="center"/>
    </xf>
    <xf numFmtId="4" fontId="11" fillId="60" borderId="26" xfId="3" applyNumberFormat="1" applyFont="1" applyFill="1" applyBorder="1" applyAlignment="1">
      <alignment horizontal="right" vertical="center"/>
    </xf>
    <xf numFmtId="43" fontId="11" fillId="60" borderId="10" xfId="409" applyFont="1" applyFill="1" applyBorder="1" applyAlignment="1">
      <alignment horizontal="right" vertical="center" wrapText="1"/>
    </xf>
    <xf numFmtId="0" fontId="6" fillId="60" borderId="25" xfId="3" applyFont="1" applyFill="1" applyBorder="1" applyAlignment="1">
      <alignment horizontal="left" vertical="center"/>
    </xf>
    <xf numFmtId="2" fontId="11" fillId="60" borderId="10" xfId="3" applyNumberFormat="1" applyFont="1" applyFill="1" applyBorder="1" applyAlignment="1">
      <alignment horizontal="right" vertical="center" wrapText="1"/>
    </xf>
    <xf numFmtId="0" fontId="6" fillId="60" borderId="93" xfId="3" applyFont="1" applyFill="1" applyBorder="1"/>
    <xf numFmtId="0" fontId="11" fillId="60" borderId="50" xfId="3" applyFont="1" applyFill="1" applyBorder="1" applyAlignment="1">
      <alignment horizontal="center" vertical="center" wrapText="1"/>
    </xf>
    <xf numFmtId="2" fontId="11" fillId="60" borderId="50" xfId="3" applyNumberFormat="1" applyFont="1" applyFill="1" applyBorder="1" applyAlignment="1">
      <alignment horizontal="right" vertical="center" wrapText="1"/>
    </xf>
    <xf numFmtId="4" fontId="11" fillId="60" borderId="50" xfId="3" applyNumberFormat="1" applyFont="1" applyFill="1" applyBorder="1" applyAlignment="1">
      <alignment vertical="center"/>
    </xf>
    <xf numFmtId="4" fontId="6" fillId="60" borderId="50" xfId="3" applyNumberFormat="1" applyFont="1" applyFill="1" applyBorder="1" applyAlignment="1">
      <alignment vertical="center"/>
    </xf>
    <xf numFmtId="4" fontId="11" fillId="60" borderId="88" xfId="3" applyNumberFormat="1" applyFont="1" applyFill="1" applyBorder="1" applyAlignment="1">
      <alignment vertical="center"/>
    </xf>
    <xf numFmtId="0" fontId="6" fillId="60" borderId="16" xfId="3" applyFont="1" applyFill="1" applyBorder="1"/>
    <xf numFmtId="0" fontId="11" fillId="60" borderId="17" xfId="3" applyFont="1" applyFill="1" applyBorder="1" applyAlignment="1">
      <alignment horizontal="center" vertical="top" wrapText="1"/>
    </xf>
    <xf numFmtId="2" fontId="11" fillId="60" borderId="17" xfId="3" applyNumberFormat="1" applyFont="1" applyFill="1" applyBorder="1" applyAlignment="1">
      <alignment horizontal="right" vertical="center" wrapText="1"/>
    </xf>
    <xf numFmtId="2" fontId="11" fillId="60" borderId="17" xfId="3" applyNumberFormat="1" applyFont="1" applyFill="1" applyBorder="1" applyAlignment="1">
      <alignment horizontal="right" vertical="center"/>
    </xf>
    <xf numFmtId="4" fontId="11" fillId="60" borderId="21" xfId="3" applyNumberFormat="1" applyFont="1" applyFill="1" applyBorder="1" applyAlignment="1">
      <alignment vertical="center"/>
    </xf>
    <xf numFmtId="0" fontId="6" fillId="60" borderId="25" xfId="3" applyFont="1" applyFill="1" applyBorder="1"/>
    <xf numFmtId="0" fontId="11" fillId="60" borderId="10" xfId="3" applyFont="1" applyFill="1" applyBorder="1" applyAlignment="1">
      <alignment horizontal="center" vertical="top" wrapText="1"/>
    </xf>
    <xf numFmtId="2" fontId="11" fillId="60" borderId="10" xfId="3" applyNumberFormat="1" applyFont="1" applyFill="1" applyBorder="1" applyAlignment="1">
      <alignment horizontal="right" vertical="center"/>
    </xf>
    <xf numFmtId="4" fontId="11" fillId="60" borderId="26" xfId="3" applyNumberFormat="1" applyFont="1" applyFill="1" applyBorder="1" applyAlignment="1">
      <alignment vertical="center"/>
    </xf>
    <xf numFmtId="2" fontId="6" fillId="60" borderId="10" xfId="3" applyNumberFormat="1" applyFont="1" applyFill="1" applyBorder="1" applyAlignment="1">
      <alignment horizontal="right" vertical="center"/>
    </xf>
    <xf numFmtId="0" fontId="6" fillId="60" borderId="10" xfId="3" applyFont="1" applyFill="1" applyBorder="1" applyAlignment="1">
      <alignment horizontal="right" vertical="center"/>
    </xf>
    <xf numFmtId="0" fontId="6" fillId="60" borderId="27" xfId="3" applyFont="1" applyFill="1" applyBorder="1"/>
    <xf numFmtId="0" fontId="11" fillId="60" borderId="28" xfId="3" applyFont="1" applyFill="1" applyBorder="1" applyAlignment="1">
      <alignment horizontal="center" vertical="top" wrapText="1"/>
    </xf>
    <xf numFmtId="4" fontId="11" fillId="60" borderId="29" xfId="3" applyNumberFormat="1" applyFont="1" applyFill="1" applyBorder="1" applyAlignment="1">
      <alignment vertical="center"/>
    </xf>
    <xf numFmtId="2" fontId="6" fillId="60" borderId="17" xfId="3" applyNumberFormat="1" applyFont="1" applyFill="1" applyBorder="1" applyAlignment="1">
      <alignment horizontal="right" vertical="center" wrapText="1"/>
    </xf>
    <xf numFmtId="2" fontId="6" fillId="60" borderId="20" xfId="3" applyNumberFormat="1" applyFont="1" applyFill="1" applyBorder="1" applyAlignment="1">
      <alignment horizontal="right" vertical="center" wrapText="1"/>
    </xf>
    <xf numFmtId="4" fontId="6" fillId="60" borderId="17" xfId="3" applyNumberFormat="1" applyFont="1" applyFill="1" applyBorder="1" applyAlignment="1">
      <alignment horizontal="right" vertical="center" wrapText="1"/>
    </xf>
    <xf numFmtId="4" fontId="6" fillId="60" borderId="48" xfId="3" applyNumberFormat="1" applyFont="1" applyFill="1" applyBorder="1" applyAlignment="1">
      <alignment horizontal="right" vertical="center" wrapText="1"/>
    </xf>
    <xf numFmtId="4" fontId="6" fillId="60" borderId="87" xfId="3" applyNumberFormat="1" applyFont="1" applyFill="1" applyBorder="1" applyAlignment="1">
      <alignment horizontal="right" vertical="center" wrapText="1"/>
    </xf>
    <xf numFmtId="0" fontId="11" fillId="60" borderId="25" xfId="3" applyFont="1" applyFill="1" applyBorder="1" applyAlignment="1">
      <alignment horizontal="left" vertical="center" wrapText="1" indent="2"/>
    </xf>
    <xf numFmtId="2" fontId="11" fillId="60" borderId="13" xfId="3" applyNumberFormat="1" applyFont="1" applyFill="1" applyBorder="1" applyAlignment="1">
      <alignment horizontal="right" vertical="center"/>
    </xf>
    <xf numFmtId="4" fontId="6" fillId="60" borderId="13" xfId="3" applyNumberFormat="1" applyFont="1" applyFill="1" applyBorder="1" applyAlignment="1">
      <alignment horizontal="right" vertical="center"/>
    </xf>
    <xf numFmtId="4" fontId="6" fillId="60" borderId="82" xfId="3" applyNumberFormat="1" applyFont="1" applyFill="1" applyBorder="1" applyAlignment="1">
      <alignment horizontal="right" vertical="center"/>
    </xf>
    <xf numFmtId="49" fontId="11" fillId="60" borderId="25" xfId="3" applyNumberFormat="1" applyFont="1" applyFill="1" applyBorder="1" applyAlignment="1">
      <alignment horizontal="left" vertical="center" wrapText="1" indent="2"/>
    </xf>
    <xf numFmtId="49" fontId="11" fillId="60" borderId="25" xfId="3" applyNumberFormat="1" applyFont="1" applyFill="1" applyBorder="1" applyAlignment="1">
      <alignment horizontal="left" vertical="center"/>
    </xf>
    <xf numFmtId="165" fontId="11" fillId="60" borderId="10" xfId="3" applyNumberFormat="1" applyFont="1" applyFill="1" applyBorder="1" applyAlignment="1">
      <alignment horizontal="right" vertical="center" wrapText="1"/>
    </xf>
    <xf numFmtId="165" fontId="11" fillId="60" borderId="13" xfId="3" applyNumberFormat="1" applyFont="1" applyFill="1" applyBorder="1" applyAlignment="1">
      <alignment horizontal="right" vertical="center" wrapText="1"/>
    </xf>
    <xf numFmtId="196" fontId="6" fillId="60" borderId="10" xfId="3" applyNumberFormat="1" applyFont="1" applyFill="1" applyBorder="1" applyAlignment="1">
      <alignment horizontal="right" vertical="center" wrapText="1"/>
    </xf>
    <xf numFmtId="4" fontId="6" fillId="60" borderId="13" xfId="3" applyNumberFormat="1" applyFont="1" applyFill="1" applyBorder="1" applyAlignment="1">
      <alignment horizontal="right" vertical="center" wrapText="1"/>
    </xf>
    <xf numFmtId="196" fontId="6" fillId="60" borderId="13" xfId="3" applyNumberFormat="1" applyFont="1" applyFill="1" applyBorder="1" applyAlignment="1">
      <alignment horizontal="right" vertical="center" wrapText="1"/>
    </xf>
    <xf numFmtId="196" fontId="6" fillId="60" borderId="82" xfId="3" applyNumberFormat="1" applyFont="1" applyFill="1" applyBorder="1" applyAlignment="1">
      <alignment horizontal="right" vertical="center" wrapText="1"/>
    </xf>
    <xf numFmtId="165" fontId="11" fillId="60" borderId="13" xfId="3" applyNumberFormat="1" applyFont="1" applyFill="1" applyBorder="1" applyAlignment="1">
      <alignment horizontal="right" vertical="center"/>
    </xf>
    <xf numFmtId="196" fontId="6" fillId="60" borderId="10" xfId="3" applyNumberFormat="1" applyFont="1" applyFill="1" applyBorder="1" applyAlignment="1">
      <alignment horizontal="right" vertical="center"/>
    </xf>
    <xf numFmtId="196" fontId="6" fillId="60" borderId="82" xfId="3" applyNumberFormat="1" applyFont="1" applyFill="1" applyBorder="1" applyAlignment="1">
      <alignment horizontal="right" vertical="center"/>
    </xf>
    <xf numFmtId="2" fontId="11" fillId="60" borderId="10" xfId="3" applyNumberFormat="1" applyFont="1" applyFill="1" applyBorder="1" applyAlignment="1">
      <alignment vertical="center"/>
    </xf>
    <xf numFmtId="2" fontId="11" fillId="60" borderId="13" xfId="3" applyNumberFormat="1" applyFont="1" applyFill="1" applyBorder="1" applyAlignment="1">
      <alignment horizontal="right" vertical="center" wrapText="1"/>
    </xf>
    <xf numFmtId="49" fontId="11" fillId="60" borderId="25" xfId="3" applyNumberFormat="1" applyFont="1" applyFill="1" applyBorder="1" applyAlignment="1">
      <alignment horizontal="left" vertical="center" wrapText="1" indent="1"/>
    </xf>
    <xf numFmtId="167" fontId="11" fillId="60" borderId="10" xfId="3" applyNumberFormat="1" applyFont="1" applyFill="1" applyBorder="1" applyAlignment="1">
      <alignment horizontal="right" vertical="center" wrapText="1"/>
    </xf>
    <xf numFmtId="167" fontId="11" fillId="60" borderId="13" xfId="3" applyNumberFormat="1" applyFont="1" applyFill="1" applyBorder="1" applyAlignment="1">
      <alignment horizontal="right" vertical="center"/>
    </xf>
    <xf numFmtId="4" fontId="6" fillId="60" borderId="12" xfId="3" applyNumberFormat="1" applyFont="1" applyFill="1" applyBorder="1" applyAlignment="1">
      <alignment horizontal="right" vertical="center"/>
    </xf>
    <xf numFmtId="4" fontId="6" fillId="60" borderId="10" xfId="3" applyNumberFormat="1" applyFont="1" applyFill="1" applyBorder="1" applyAlignment="1">
      <alignment horizontal="right" vertical="center" wrapText="1"/>
    </xf>
    <xf numFmtId="4" fontId="6" fillId="60" borderId="12" xfId="3" applyNumberFormat="1" applyFont="1" applyFill="1" applyBorder="1" applyAlignment="1">
      <alignment horizontal="right" vertical="center" wrapText="1"/>
    </xf>
    <xf numFmtId="4" fontId="6" fillId="60" borderId="82" xfId="3" applyNumberFormat="1" applyFont="1" applyFill="1" applyBorder="1" applyAlignment="1">
      <alignment horizontal="right" vertical="center" wrapText="1"/>
    </xf>
    <xf numFmtId="4" fontId="124" fillId="60" borderId="12" xfId="3" applyNumberFormat="1" applyFont="1" applyFill="1" applyBorder="1" applyAlignment="1">
      <alignment horizontal="right" vertical="center"/>
    </xf>
    <xf numFmtId="0" fontId="105" fillId="60" borderId="25" xfId="3" applyFont="1" applyFill="1" applyBorder="1" applyAlignment="1">
      <alignment horizontal="left" vertical="center" wrapText="1"/>
    </xf>
    <xf numFmtId="4" fontId="107" fillId="60" borderId="10" xfId="3" applyNumberFormat="1" applyFont="1" applyFill="1" applyBorder="1" applyAlignment="1">
      <alignment horizontal="right" vertical="center" wrapText="1"/>
    </xf>
    <xf numFmtId="4" fontId="107" fillId="60" borderId="13" xfId="3" applyNumberFormat="1" applyFont="1" applyFill="1" applyBorder="1" applyAlignment="1">
      <alignment horizontal="right" vertical="center" wrapText="1"/>
    </xf>
    <xf numFmtId="4" fontId="125" fillId="60" borderId="12" xfId="3" applyNumberFormat="1" applyFont="1" applyFill="1" applyBorder="1" applyAlignment="1">
      <alignment horizontal="right" vertical="center" wrapText="1"/>
    </xf>
    <xf numFmtId="4" fontId="107" fillId="60" borderId="82" xfId="3" applyNumberFormat="1" applyFont="1" applyFill="1" applyBorder="1" applyAlignment="1">
      <alignment horizontal="right" vertical="center" wrapText="1"/>
    </xf>
    <xf numFmtId="0" fontId="11" fillId="60" borderId="25" xfId="3" applyFont="1" applyFill="1" applyBorder="1" applyAlignment="1">
      <alignment horizontal="left" vertical="center"/>
    </xf>
    <xf numFmtId="0" fontId="123" fillId="0" borderId="0" xfId="3" applyFont="1" applyFill="1"/>
    <xf numFmtId="0" fontId="11" fillId="60" borderId="77" xfId="3" applyFont="1" applyFill="1" applyBorder="1" applyAlignment="1">
      <alignment horizontal="left" vertical="center"/>
    </xf>
    <xf numFmtId="0" fontId="11" fillId="60" borderId="7" xfId="3" applyFont="1" applyFill="1" applyBorder="1" applyAlignment="1">
      <alignment horizontal="center" vertical="center" wrapText="1"/>
    </xf>
    <xf numFmtId="2" fontId="11" fillId="60" borderId="7" xfId="3" applyNumberFormat="1" applyFont="1" applyFill="1" applyBorder="1" applyAlignment="1">
      <alignment vertical="center"/>
    </xf>
    <xf numFmtId="4" fontId="6" fillId="60" borderId="7" xfId="3" applyNumberFormat="1" applyFont="1" applyFill="1" applyBorder="1" applyAlignment="1">
      <alignment horizontal="right" vertical="center"/>
    </xf>
    <xf numFmtId="4" fontId="6" fillId="60" borderId="9" xfId="3" applyNumberFormat="1" applyFont="1" applyFill="1" applyBorder="1" applyAlignment="1">
      <alignment horizontal="right" vertical="center"/>
    </xf>
    <xf numFmtId="4" fontId="6" fillId="60" borderId="76" xfId="3" applyNumberFormat="1" applyFont="1" applyFill="1" applyBorder="1" applyAlignment="1">
      <alignment horizontal="right" vertical="center"/>
    </xf>
    <xf numFmtId="0" fontId="11" fillId="60" borderId="22" xfId="3" applyFont="1" applyFill="1" applyBorder="1" applyAlignment="1">
      <alignment horizontal="left" vertical="center" wrapText="1"/>
    </xf>
    <xf numFmtId="2" fontId="11" fillId="60" borderId="1" xfId="3" applyNumberFormat="1" applyFont="1" applyFill="1" applyBorder="1" applyAlignment="1">
      <alignment horizontal="right" vertical="center" wrapText="1"/>
    </xf>
    <xf numFmtId="2" fontId="11" fillId="60" borderId="1" xfId="3" applyNumberFormat="1" applyFont="1" applyFill="1" applyBorder="1" applyAlignment="1">
      <alignment horizontal="right" vertical="center"/>
    </xf>
    <xf numFmtId="4" fontId="6" fillId="60" borderId="3" xfId="3" applyNumberFormat="1" applyFont="1" applyFill="1" applyBorder="1" applyAlignment="1">
      <alignment horizontal="right" vertical="center"/>
    </xf>
    <xf numFmtId="4" fontId="6" fillId="60" borderId="79" xfId="3" applyNumberFormat="1" applyFont="1" applyFill="1" applyBorder="1" applyAlignment="1">
      <alignment horizontal="right" vertical="center"/>
    </xf>
    <xf numFmtId="0" fontId="11" fillId="60" borderId="22" xfId="3" applyFont="1" applyFill="1" applyBorder="1" applyAlignment="1">
      <alignment horizontal="left" vertical="center"/>
    </xf>
    <xf numFmtId="0" fontId="126" fillId="60" borderId="27" xfId="3" applyFont="1" applyFill="1" applyBorder="1" applyAlignment="1">
      <alignment horizontal="left" vertical="center" wrapText="1"/>
    </xf>
    <xf numFmtId="0" fontId="11" fillId="60" borderId="28" xfId="3" applyFont="1" applyFill="1" applyBorder="1" applyAlignment="1">
      <alignment horizontal="center" vertical="center" wrapText="1"/>
    </xf>
    <xf numFmtId="2" fontId="105" fillId="60" borderId="28" xfId="3" applyNumberFormat="1" applyFont="1" applyFill="1" applyBorder="1" applyAlignment="1">
      <alignment vertical="center"/>
    </xf>
    <xf numFmtId="4" fontId="108" fillId="60" borderId="28" xfId="3" applyNumberFormat="1" applyFont="1" applyFill="1" applyBorder="1" applyAlignment="1">
      <alignment horizontal="right" vertical="center"/>
    </xf>
    <xf numFmtId="4" fontId="108" fillId="60" borderId="45" xfId="3" applyNumberFormat="1" applyFont="1" applyFill="1" applyBorder="1" applyAlignment="1">
      <alignment horizontal="right" vertical="center"/>
    </xf>
    <xf numFmtId="4" fontId="125" fillId="60" borderId="45" xfId="3" applyNumberFormat="1" applyFont="1" applyFill="1" applyBorder="1" applyAlignment="1">
      <alignment horizontal="right" vertical="center"/>
    </xf>
    <xf numFmtId="4" fontId="108" fillId="60" borderId="94" xfId="3" applyNumberFormat="1" applyFont="1" applyFill="1" applyBorder="1" applyAlignment="1">
      <alignment horizontal="right" vertical="center"/>
    </xf>
    <xf numFmtId="0" fontId="6" fillId="60" borderId="71" xfId="3" applyFont="1" applyFill="1" applyBorder="1" applyAlignment="1">
      <alignment horizontal="left" vertical="center" wrapText="1"/>
    </xf>
    <xf numFmtId="0" fontId="11" fillId="60" borderId="53" xfId="3" applyFont="1" applyFill="1" applyBorder="1" applyAlignment="1">
      <alignment horizontal="center" vertical="center" wrapText="1"/>
    </xf>
    <xf numFmtId="2" fontId="11" fillId="60" borderId="53" xfId="3" applyNumberFormat="1" applyFont="1" applyFill="1" applyBorder="1" applyAlignment="1">
      <alignment horizontal="right" vertical="center" wrapText="1"/>
    </xf>
    <xf numFmtId="2" fontId="11" fillId="60" borderId="54" xfId="3" applyNumberFormat="1" applyFont="1" applyFill="1" applyBorder="1" applyAlignment="1">
      <alignment horizontal="right" vertical="center" wrapText="1"/>
    </xf>
    <xf numFmtId="4" fontId="11" fillId="60" borderId="17" xfId="3" applyNumberFormat="1" applyFont="1" applyFill="1" applyBorder="1" applyAlignment="1">
      <alignment horizontal="right" vertical="center" wrapText="1"/>
    </xf>
    <xf numFmtId="4" fontId="11" fillId="60" borderId="20" xfId="3" applyNumberFormat="1" applyFont="1" applyFill="1" applyBorder="1" applyAlignment="1">
      <alignment horizontal="right" vertical="center" wrapText="1"/>
    </xf>
    <xf numFmtId="4" fontId="11" fillId="60" borderId="54" xfId="3" applyNumberFormat="1" applyFont="1" applyFill="1" applyBorder="1" applyAlignment="1">
      <alignment horizontal="right" vertical="center" wrapText="1"/>
    </xf>
    <xf numFmtId="4" fontId="11" fillId="60" borderId="87" xfId="3" applyNumberFormat="1" applyFont="1" applyFill="1" applyBorder="1" applyAlignment="1">
      <alignment horizontal="right" vertical="center" wrapText="1"/>
    </xf>
    <xf numFmtId="4" fontId="11" fillId="60" borderId="10" xfId="3" applyNumberFormat="1" applyFont="1" applyFill="1" applyBorder="1" applyAlignment="1">
      <alignment horizontal="right" vertical="center" wrapText="1"/>
    </xf>
    <xf numFmtId="4" fontId="11" fillId="60" borderId="12" xfId="3" applyNumberFormat="1" applyFont="1" applyFill="1" applyBorder="1" applyAlignment="1">
      <alignment horizontal="right" vertical="center" wrapText="1"/>
    </xf>
    <xf numFmtId="4" fontId="11" fillId="60" borderId="11" xfId="3" applyNumberFormat="1" applyFont="1" applyFill="1" applyBorder="1" applyAlignment="1">
      <alignment horizontal="right" vertical="center" wrapText="1"/>
    </xf>
    <xf numFmtId="4" fontId="11" fillId="60" borderId="82" xfId="3" applyNumberFormat="1" applyFont="1" applyFill="1" applyBorder="1" applyAlignment="1">
      <alignment horizontal="right" vertical="center"/>
    </xf>
    <xf numFmtId="4" fontId="11" fillId="60" borderId="0" xfId="3" applyNumberFormat="1" applyFont="1" applyFill="1" applyBorder="1" applyAlignment="1">
      <alignment horizontal="right" vertical="center" wrapText="1"/>
    </xf>
    <xf numFmtId="4" fontId="11" fillId="60" borderId="5" xfId="3" applyNumberFormat="1" applyFont="1" applyFill="1" applyBorder="1" applyAlignment="1">
      <alignment horizontal="right" vertical="center" wrapText="1"/>
    </xf>
    <xf numFmtId="4" fontId="11" fillId="60" borderId="0" xfId="3" applyNumberFormat="1" applyFont="1" applyFill="1" applyBorder="1" applyAlignment="1">
      <alignment horizontal="right" vertical="center"/>
    </xf>
    <xf numFmtId="4" fontId="11" fillId="60" borderId="32" xfId="3" applyNumberFormat="1" applyFont="1" applyFill="1" applyBorder="1" applyAlignment="1">
      <alignment horizontal="right" vertical="center"/>
    </xf>
    <xf numFmtId="0" fontId="6" fillId="60" borderId="25" xfId="3" applyFont="1" applyFill="1" applyBorder="1" applyAlignment="1">
      <alignment horizontal="left" vertical="center" indent="1"/>
    </xf>
    <xf numFmtId="4" fontId="11" fillId="60" borderId="11" xfId="3" applyNumberFormat="1" applyFont="1" applyFill="1" applyBorder="1" applyAlignment="1">
      <alignment horizontal="right" vertical="center"/>
    </xf>
    <xf numFmtId="0" fontId="6" fillId="60" borderId="25" xfId="3" applyFont="1" applyFill="1" applyBorder="1" applyAlignment="1">
      <alignment horizontal="left" vertical="center" wrapText="1"/>
    </xf>
    <xf numFmtId="167" fontId="11" fillId="60" borderId="10" xfId="3" applyNumberFormat="1" applyFont="1" applyFill="1" applyBorder="1" applyAlignment="1">
      <alignment horizontal="right" vertical="center"/>
    </xf>
    <xf numFmtId="167" fontId="11" fillId="60" borderId="10" xfId="3" applyNumberFormat="1" applyFont="1" applyFill="1" applyBorder="1" applyAlignment="1">
      <alignment vertical="center"/>
    </xf>
    <xf numFmtId="168" fontId="11" fillId="60" borderId="10" xfId="3" applyNumberFormat="1" applyFont="1" applyFill="1" applyBorder="1" applyAlignment="1">
      <alignment horizontal="right" vertical="center"/>
    </xf>
    <xf numFmtId="168" fontId="11" fillId="60" borderId="11" xfId="3" applyNumberFormat="1" applyFont="1" applyFill="1" applyBorder="1" applyAlignment="1">
      <alignment horizontal="right" vertical="center"/>
    </xf>
    <xf numFmtId="168" fontId="11" fillId="60" borderId="10" xfId="3" applyNumberFormat="1" applyFont="1" applyFill="1" applyBorder="1" applyAlignment="1">
      <alignment horizontal="right" vertical="center" wrapText="1"/>
    </xf>
    <xf numFmtId="168" fontId="11" fillId="60" borderId="82" xfId="3" applyNumberFormat="1" applyFont="1" applyFill="1" applyBorder="1" applyAlignment="1">
      <alignment horizontal="right" vertical="center" wrapText="1"/>
    </xf>
    <xf numFmtId="164" fontId="11" fillId="60" borderId="10" xfId="3" applyNumberFormat="1" applyFont="1" applyFill="1" applyBorder="1" applyAlignment="1">
      <alignment vertical="center"/>
    </xf>
    <xf numFmtId="4" fontId="11" fillId="60" borderId="5" xfId="3" applyNumberFormat="1" applyFont="1" applyFill="1" applyBorder="1" applyAlignment="1">
      <alignment horizontal="right" vertical="center"/>
    </xf>
    <xf numFmtId="168" fontId="11" fillId="60" borderId="82" xfId="3" applyNumberFormat="1" applyFont="1" applyFill="1" applyBorder="1" applyAlignment="1">
      <alignment horizontal="right" vertical="center"/>
    </xf>
    <xf numFmtId="4" fontId="11" fillId="60" borderId="82" xfId="3" applyNumberFormat="1" applyFont="1" applyFill="1" applyBorder="1" applyAlignment="1">
      <alignment horizontal="right" vertical="center" wrapText="1"/>
    </xf>
    <xf numFmtId="164" fontId="11" fillId="60" borderId="10" xfId="3" applyNumberFormat="1" applyFont="1" applyFill="1" applyBorder="1" applyAlignment="1">
      <alignment horizontal="right" vertical="center" wrapText="1"/>
    </xf>
    <xf numFmtId="164" fontId="11" fillId="60" borderId="10" xfId="3" applyNumberFormat="1" applyFont="1" applyFill="1" applyBorder="1" applyAlignment="1">
      <alignment horizontal="right" vertical="center"/>
    </xf>
    <xf numFmtId="167" fontId="11" fillId="60" borderId="11" xfId="3" applyNumberFormat="1" applyFont="1" applyFill="1" applyBorder="1" applyAlignment="1">
      <alignment vertical="center"/>
    </xf>
    <xf numFmtId="168" fontId="11" fillId="60" borderId="13" xfId="3" applyNumberFormat="1" applyFont="1" applyFill="1" applyBorder="1" applyAlignment="1">
      <alignment horizontal="right" vertical="center"/>
    </xf>
    <xf numFmtId="4" fontId="11" fillId="60" borderId="13" xfId="3" applyNumberFormat="1" applyFont="1" applyFill="1" applyBorder="1" applyAlignment="1">
      <alignment horizontal="right" vertical="center"/>
    </xf>
    <xf numFmtId="4" fontId="6" fillId="60" borderId="29" xfId="3" applyNumberFormat="1" applyFont="1" applyFill="1" applyBorder="1" applyAlignment="1">
      <alignment vertical="center"/>
    </xf>
    <xf numFmtId="4" fontId="6" fillId="60" borderId="46" xfId="3" applyNumberFormat="1" applyFont="1" applyFill="1" applyBorder="1" applyAlignment="1">
      <alignment vertical="center"/>
    </xf>
    <xf numFmtId="4" fontId="108" fillId="60" borderId="72" xfId="3" applyNumberFormat="1" applyFont="1" applyFill="1" applyBorder="1" applyAlignment="1">
      <alignment horizontal="right" vertical="center"/>
    </xf>
    <xf numFmtId="4" fontId="127" fillId="60" borderId="46" xfId="3" applyNumberFormat="1" applyFont="1" applyFill="1" applyBorder="1" applyAlignment="1">
      <alignment horizontal="right" vertical="center"/>
    </xf>
    <xf numFmtId="0" fontId="6" fillId="0" borderId="0" xfId="429" applyFont="1" applyFill="1" applyBorder="1"/>
    <xf numFmtId="4" fontId="11" fillId="60" borderId="17" xfId="3" applyNumberFormat="1" applyFont="1" applyFill="1" applyBorder="1" applyAlignment="1">
      <alignment horizontal="right" vertical="center"/>
    </xf>
    <xf numFmtId="4" fontId="11" fillId="60" borderId="20" xfId="3" applyNumberFormat="1" applyFont="1" applyFill="1" applyBorder="1" applyAlignment="1">
      <alignment horizontal="right" vertical="center"/>
    </xf>
    <xf numFmtId="4" fontId="11" fillId="60" borderId="87" xfId="3" applyNumberFormat="1" applyFont="1" applyFill="1" applyBorder="1" applyAlignment="1">
      <alignment horizontal="right" vertical="center"/>
    </xf>
    <xf numFmtId="0" fontId="11" fillId="60" borderId="77" xfId="3" applyFont="1" applyFill="1" applyBorder="1" applyAlignment="1">
      <alignment horizontal="left" vertical="center" wrapText="1"/>
    </xf>
    <xf numFmtId="2" fontId="11" fillId="60" borderId="7" xfId="3" applyNumberFormat="1" applyFont="1" applyFill="1" applyBorder="1" applyAlignment="1">
      <alignment horizontal="right" vertical="center" wrapText="1"/>
    </xf>
    <xf numFmtId="4" fontId="11" fillId="60" borderId="7" xfId="3" applyNumberFormat="1" applyFont="1" applyFill="1" applyBorder="1" applyAlignment="1">
      <alignment horizontal="right" vertical="center"/>
    </xf>
    <xf numFmtId="4" fontId="11" fillId="60" borderId="8" xfId="3" applyNumberFormat="1" applyFont="1" applyFill="1" applyBorder="1" applyAlignment="1">
      <alignment horizontal="right" vertical="center"/>
    </xf>
    <xf numFmtId="4" fontId="11" fillId="60" borderId="78" xfId="3" applyNumberFormat="1" applyFont="1" applyFill="1" applyBorder="1" applyAlignment="1">
      <alignment horizontal="right" vertical="center"/>
    </xf>
    <xf numFmtId="4" fontId="11" fillId="60" borderId="7" xfId="3" applyNumberFormat="1" applyFont="1" applyFill="1" applyBorder="1" applyAlignment="1">
      <alignment horizontal="right" vertical="center" wrapText="1"/>
    </xf>
    <xf numFmtId="4" fontId="11" fillId="60" borderId="8" xfId="3" applyNumberFormat="1" applyFont="1" applyFill="1" applyBorder="1" applyAlignment="1">
      <alignment horizontal="right" vertical="center" wrapText="1"/>
    </xf>
    <xf numFmtId="4" fontId="11" fillId="60" borderId="53" xfId="3" applyNumberFormat="1" applyFont="1" applyFill="1" applyBorder="1" applyAlignment="1">
      <alignment horizontal="right" vertical="center"/>
    </xf>
    <xf numFmtId="0" fontId="11" fillId="60" borderId="77" xfId="3" applyFont="1" applyFill="1" applyBorder="1" applyAlignment="1">
      <alignment horizontal="left" vertical="center" wrapText="1" indent="1"/>
    </xf>
    <xf numFmtId="4" fontId="11" fillId="60" borderId="1" xfId="3" applyNumberFormat="1" applyFont="1" applyFill="1" applyBorder="1" applyAlignment="1">
      <alignment horizontal="right" vertical="center"/>
    </xf>
    <xf numFmtId="4" fontId="11" fillId="60" borderId="2" xfId="3" applyNumberFormat="1" applyFont="1" applyFill="1" applyBorder="1" applyAlignment="1">
      <alignment horizontal="right" vertical="center"/>
    </xf>
    <xf numFmtId="4" fontId="122" fillId="60" borderId="1" xfId="3" applyNumberFormat="1" applyFont="1" applyFill="1" applyBorder="1" applyAlignment="1">
      <alignment horizontal="right" vertical="center"/>
    </xf>
    <xf numFmtId="4" fontId="11" fillId="60" borderId="79" xfId="3" applyNumberFormat="1" applyFont="1" applyFill="1" applyBorder="1" applyAlignment="1">
      <alignment horizontal="right" vertical="center"/>
    </xf>
    <xf numFmtId="0" fontId="126" fillId="60" borderId="25" xfId="3" applyFont="1" applyFill="1" applyBorder="1" applyAlignment="1">
      <alignment horizontal="left" vertical="center" wrapText="1"/>
    </xf>
    <xf numFmtId="4" fontId="108" fillId="60" borderId="10" xfId="3" applyNumberFormat="1" applyFont="1" applyFill="1" applyBorder="1" applyAlignment="1">
      <alignment horizontal="right" vertical="center"/>
    </xf>
    <xf numFmtId="4" fontId="108" fillId="60" borderId="12" xfId="3" applyNumberFormat="1" applyFont="1" applyFill="1" applyBorder="1" applyAlignment="1">
      <alignment horizontal="right" vertical="center"/>
    </xf>
    <xf numFmtId="4" fontId="127" fillId="60" borderId="10" xfId="3" applyNumberFormat="1" applyFont="1" applyFill="1" applyBorder="1" applyAlignment="1">
      <alignment horizontal="right" vertical="center"/>
    </xf>
    <xf numFmtId="4" fontId="108" fillId="60" borderId="82" xfId="3" applyNumberFormat="1" applyFont="1" applyFill="1" applyBorder="1" applyAlignment="1">
      <alignment horizontal="right" vertical="center"/>
    </xf>
    <xf numFmtId="2" fontId="11" fillId="60" borderId="7" xfId="3" applyNumberFormat="1" applyFont="1" applyFill="1" applyBorder="1" applyAlignment="1">
      <alignment horizontal="right" vertical="center"/>
    </xf>
    <xf numFmtId="4" fontId="122" fillId="60" borderId="9" xfId="3" applyNumberFormat="1" applyFont="1" applyFill="1" applyBorder="1" applyAlignment="1">
      <alignment horizontal="right" vertical="center"/>
    </xf>
    <xf numFmtId="4" fontId="11" fillId="60" borderId="76" xfId="3" applyNumberFormat="1" applyFont="1" applyFill="1" applyBorder="1" applyAlignment="1">
      <alignment horizontal="right" vertical="center"/>
    </xf>
    <xf numFmtId="0" fontId="11" fillId="60" borderId="1" xfId="3" applyFont="1" applyFill="1" applyBorder="1" applyAlignment="1">
      <alignment horizontal="center" vertical="center" wrapText="1"/>
    </xf>
    <xf numFmtId="4" fontId="11" fillId="60" borderId="23" xfId="3" applyNumberFormat="1" applyFont="1" applyFill="1" applyBorder="1" applyAlignment="1">
      <alignment horizontal="right" vertical="center"/>
    </xf>
    <xf numFmtId="4" fontId="11" fillId="60" borderId="1" xfId="3" applyNumberFormat="1" applyFont="1" applyFill="1" applyBorder="1" applyAlignment="1">
      <alignment horizontal="right" vertical="center" wrapText="1"/>
    </xf>
    <xf numFmtId="49" fontId="11" fillId="60" borderId="22" xfId="3" applyNumberFormat="1" applyFont="1" applyFill="1" applyBorder="1" applyAlignment="1">
      <alignment horizontal="left" vertical="center" wrapText="1"/>
    </xf>
    <xf numFmtId="2" fontId="105" fillId="60" borderId="28" xfId="3" applyNumberFormat="1" applyFont="1" applyFill="1" applyBorder="1" applyAlignment="1">
      <alignment horizontal="right" vertical="center"/>
    </xf>
    <xf numFmtId="4" fontId="127" fillId="60" borderId="28" xfId="3" applyNumberFormat="1" applyFont="1" applyFill="1" applyBorder="1" applyAlignment="1">
      <alignment horizontal="right" vertical="center"/>
    </xf>
    <xf numFmtId="164" fontId="16" fillId="3" borderId="7" xfId="0" applyNumberFormat="1" applyFont="1" applyFill="1" applyBorder="1" applyAlignment="1">
      <alignment horizontal="center"/>
    </xf>
    <xf numFmtId="0" fontId="33" fillId="0" borderId="0" xfId="0" applyFont="1" applyFill="1" applyAlignment="1"/>
    <xf numFmtId="0" fontId="3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2" fillId="0" borderId="8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8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" fontId="1" fillId="0" borderId="5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8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9" xfId="0" applyFont="1" applyFill="1" applyBorder="1" applyAlignment="1">
      <alignment horizontal="center"/>
    </xf>
    <xf numFmtId="0" fontId="2" fillId="0" borderId="8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6" xfId="0" applyFont="1" applyFill="1" applyBorder="1" applyAlignment="1">
      <alignment horizontal="center"/>
    </xf>
    <xf numFmtId="0" fontId="1" fillId="0" borderId="7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7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119" fillId="60" borderId="0" xfId="3" applyFont="1" applyFill="1" applyAlignment="1">
      <alignment horizontal="center" vertical="center" wrapText="1"/>
    </xf>
    <xf numFmtId="0" fontId="120" fillId="60" borderId="0" xfId="3" applyFont="1" applyFill="1" applyAlignment="1">
      <alignment horizontal="center" vertical="center" wrapText="1"/>
    </xf>
    <xf numFmtId="0" fontId="109" fillId="60" borderId="52" xfId="3" applyFont="1" applyFill="1" applyBorder="1" applyAlignment="1">
      <alignment horizontal="center" vertical="center"/>
    </xf>
    <xf numFmtId="0" fontId="11" fillId="60" borderId="52" xfId="3" applyFont="1" applyFill="1" applyBorder="1" applyAlignment="1">
      <alignment horizontal="center" vertical="center"/>
    </xf>
    <xf numFmtId="0" fontId="10" fillId="60" borderId="90" xfId="3" applyFont="1" applyFill="1" applyBorder="1" applyAlignment="1">
      <alignment horizontal="center" vertical="center"/>
    </xf>
    <xf numFmtId="0" fontId="10" fillId="60" borderId="91" xfId="3" applyFont="1" applyFill="1" applyBorder="1" applyAlignment="1">
      <alignment horizontal="center" vertical="center"/>
    </xf>
    <xf numFmtId="0" fontId="10" fillId="60" borderId="92" xfId="3" applyFont="1" applyFill="1" applyBorder="1" applyAlignment="1">
      <alignment horizontal="center" vertical="center" wrapText="1"/>
    </xf>
    <xf numFmtId="0" fontId="10" fillId="60" borderId="88" xfId="3" applyFont="1" applyFill="1" applyBorder="1" applyAlignment="1">
      <alignment horizontal="center" vertical="center" wrapText="1"/>
    </xf>
    <xf numFmtId="0" fontId="10" fillId="60" borderId="90" xfId="3" applyFont="1" applyFill="1" applyBorder="1" applyAlignment="1">
      <alignment horizontal="center" vertical="center" wrapText="1"/>
    </xf>
    <xf numFmtId="0" fontId="10" fillId="60" borderId="91" xfId="3" applyFont="1" applyFill="1" applyBorder="1" applyAlignment="1">
      <alignment horizontal="center" vertical="center" wrapText="1"/>
    </xf>
    <xf numFmtId="0" fontId="110" fillId="60" borderId="73" xfId="3" applyFont="1" applyFill="1" applyBorder="1" applyAlignment="1">
      <alignment horizontal="center" vertical="center" wrapText="1"/>
    </xf>
    <xf numFmtId="0" fontId="110" fillId="60" borderId="83" xfId="3" applyFont="1" applyFill="1" applyBorder="1" applyAlignment="1">
      <alignment horizontal="center" vertical="center" wrapText="1"/>
    </xf>
    <xf numFmtId="0" fontId="110" fillId="60" borderId="24" xfId="3" applyFont="1" applyFill="1" applyBorder="1" applyAlignment="1">
      <alignment horizontal="center" vertical="center" wrapText="1"/>
    </xf>
    <xf numFmtId="0" fontId="10" fillId="60" borderId="73" xfId="3" applyFont="1" applyFill="1" applyBorder="1" applyAlignment="1">
      <alignment horizontal="center" vertical="center"/>
    </xf>
    <xf numFmtId="0" fontId="10" fillId="60" borderId="24" xfId="3" applyFont="1" applyFill="1" applyBorder="1" applyAlignment="1">
      <alignment horizontal="center" vertical="center"/>
    </xf>
    <xf numFmtId="0" fontId="10" fillId="60" borderId="83" xfId="3" applyFont="1" applyFill="1" applyBorder="1" applyAlignment="1">
      <alignment horizontal="center" vertical="center"/>
    </xf>
    <xf numFmtId="0" fontId="111" fillId="60" borderId="73" xfId="3" applyFont="1" applyFill="1" applyBorder="1" applyAlignment="1">
      <alignment horizontal="center" vertical="center" wrapText="1"/>
    </xf>
    <xf numFmtId="0" fontId="111" fillId="60" borderId="24" xfId="3" applyFont="1" applyFill="1" applyBorder="1" applyAlignment="1">
      <alignment horizontal="center" vertical="center" wrapText="1"/>
    </xf>
    <xf numFmtId="0" fontId="111" fillId="60" borderId="83" xfId="3" applyFont="1" applyFill="1" applyBorder="1" applyAlignment="1">
      <alignment horizontal="center" vertical="center" wrapText="1"/>
    </xf>
    <xf numFmtId="0" fontId="114" fillId="0" borderId="0" xfId="430" applyNumberFormat="1" applyFont="1" applyBorder="1" applyAlignment="1">
      <alignment horizontal="center" wrapText="1"/>
    </xf>
    <xf numFmtId="0" fontId="115" fillId="0" borderId="0" xfId="430" applyNumberFormat="1" applyFont="1" applyBorder="1" applyAlignment="1">
      <alignment horizontal="center" wrapText="1"/>
    </xf>
    <xf numFmtId="0" fontId="103" fillId="0" borderId="14" xfId="430" applyFont="1" applyBorder="1" applyAlignment="1">
      <alignment horizontal="center" vertical="center" wrapText="1"/>
    </xf>
    <xf numFmtId="0" fontId="103" fillId="0" borderId="2" xfId="430" applyFont="1" applyBorder="1" applyAlignment="1">
      <alignment horizontal="center" vertical="center" wrapText="1"/>
    </xf>
    <xf numFmtId="0" fontId="103" fillId="0" borderId="3" xfId="430" applyFont="1" applyBorder="1" applyAlignment="1">
      <alignment horizontal="center" vertical="center" wrapText="1"/>
    </xf>
    <xf numFmtId="0" fontId="103" fillId="0" borderId="15" xfId="430" applyFont="1" applyBorder="1" applyAlignment="1">
      <alignment horizontal="center" vertical="center" wrapText="1"/>
    </xf>
    <xf numFmtId="0" fontId="103" fillId="0" borderId="8" xfId="430" applyFont="1" applyBorder="1" applyAlignment="1">
      <alignment horizontal="center" vertical="center" wrapText="1"/>
    </xf>
    <xf numFmtId="0" fontId="103" fillId="0" borderId="9" xfId="430" applyFont="1" applyBorder="1" applyAlignment="1">
      <alignment horizontal="center" vertical="center" wrapText="1"/>
    </xf>
    <xf numFmtId="0" fontId="103" fillId="0" borderId="14" xfId="430" applyNumberFormat="1" applyFont="1" applyBorder="1" applyAlignment="1">
      <alignment horizontal="center" vertical="center" wrapText="1"/>
    </xf>
    <xf numFmtId="0" fontId="103" fillId="0" borderId="2" xfId="430" applyNumberFormat="1" applyFont="1" applyBorder="1" applyAlignment="1">
      <alignment horizontal="center" vertical="center" wrapText="1"/>
    </xf>
    <xf numFmtId="0" fontId="103" fillId="0" borderId="3" xfId="430" applyNumberFormat="1" applyFont="1" applyBorder="1" applyAlignment="1">
      <alignment horizontal="center" vertical="center" wrapText="1"/>
    </xf>
    <xf numFmtId="0" fontId="103" fillId="0" borderId="15" xfId="430" applyNumberFormat="1" applyFont="1" applyBorder="1" applyAlignment="1">
      <alignment horizontal="center" vertical="center" wrapText="1"/>
    </xf>
    <xf numFmtId="0" fontId="103" fillId="0" borderId="8" xfId="430" applyNumberFormat="1" applyFont="1" applyBorder="1" applyAlignment="1">
      <alignment horizontal="center" vertical="center" wrapText="1"/>
    </xf>
    <xf numFmtId="0" fontId="103" fillId="0" borderId="9" xfId="430" applyNumberFormat="1" applyFont="1" applyBorder="1" applyAlignment="1">
      <alignment horizontal="center" vertical="center" wrapText="1"/>
    </xf>
    <xf numFmtId="0" fontId="103" fillId="0" borderId="11" xfId="430" applyNumberFormat="1" applyFont="1" applyBorder="1" applyAlignment="1">
      <alignment horizontal="center" vertical="center" wrapText="1"/>
    </xf>
    <xf numFmtId="0" fontId="103" fillId="0" borderId="12" xfId="430" applyNumberFormat="1" applyFont="1" applyBorder="1" applyAlignment="1">
      <alignment horizontal="center" vertical="center" wrapText="1"/>
    </xf>
    <xf numFmtId="0" fontId="103" fillId="0" borderId="13" xfId="430" applyNumberFormat="1" applyFont="1" applyBorder="1" applyAlignment="1">
      <alignment horizontal="center" vertical="center" wrapText="1"/>
    </xf>
    <xf numFmtId="0" fontId="103" fillId="0" borderId="11" xfId="430" applyNumberFormat="1" applyFont="1" applyBorder="1" applyAlignment="1">
      <alignment horizontal="center" vertical="top" wrapText="1"/>
    </xf>
    <xf numFmtId="0" fontId="103" fillId="0" borderId="12" xfId="430" applyNumberFormat="1" applyFont="1" applyBorder="1" applyAlignment="1">
      <alignment horizontal="center" vertical="top" wrapText="1"/>
    </xf>
    <xf numFmtId="0" fontId="103" fillId="0" borderId="13" xfId="430" applyNumberFormat="1" applyFont="1" applyBorder="1" applyAlignment="1">
      <alignment horizontal="center" vertical="top" wrapText="1"/>
    </xf>
    <xf numFmtId="0" fontId="103" fillId="0" borderId="11" xfId="430" applyNumberFormat="1" applyFont="1" applyBorder="1" applyAlignment="1">
      <alignment horizontal="center" vertical="top"/>
    </xf>
    <xf numFmtId="0" fontId="103" fillId="0" borderId="12" xfId="430" applyNumberFormat="1" applyFont="1" applyBorder="1" applyAlignment="1">
      <alignment horizontal="center" vertical="top"/>
    </xf>
    <xf numFmtId="0" fontId="103" fillId="0" borderId="13" xfId="430" applyNumberFormat="1" applyFont="1" applyBorder="1" applyAlignment="1">
      <alignment horizontal="center" vertical="top"/>
    </xf>
    <xf numFmtId="49" fontId="103" fillId="0" borderId="10" xfId="430" applyNumberFormat="1" applyFont="1" applyBorder="1" applyAlignment="1">
      <alignment horizontal="center" vertical="top"/>
    </xf>
    <xf numFmtId="0" fontId="103" fillId="0" borderId="12" xfId="430" applyFont="1" applyBorder="1" applyAlignment="1">
      <alignment horizontal="left" vertical="top" wrapText="1"/>
    </xf>
    <xf numFmtId="0" fontId="103" fillId="0" borderId="13" xfId="430" applyFont="1" applyBorder="1" applyAlignment="1">
      <alignment horizontal="left" vertical="top" wrapText="1"/>
    </xf>
    <xf numFmtId="0" fontId="103" fillId="0" borderId="10" xfId="430" applyFont="1" applyBorder="1" applyAlignment="1">
      <alignment horizontal="center" vertical="top"/>
    </xf>
    <xf numFmtId="0" fontId="103" fillId="0" borderId="11" xfId="430" applyFont="1" applyBorder="1" applyAlignment="1">
      <alignment horizontal="center" vertical="top"/>
    </xf>
    <xf numFmtId="0" fontId="103" fillId="0" borderId="12" xfId="430" applyFont="1" applyBorder="1" applyAlignment="1">
      <alignment horizontal="center" vertical="top"/>
    </xf>
    <xf numFmtId="0" fontId="103" fillId="0" borderId="13" xfId="430" applyFont="1" applyBorder="1" applyAlignment="1">
      <alignment horizontal="center" vertical="top"/>
    </xf>
    <xf numFmtId="2" fontId="103" fillId="0" borderId="0" xfId="430" applyNumberFormat="1" applyFont="1" applyBorder="1" applyAlignment="1">
      <alignment horizontal="center"/>
    </xf>
    <xf numFmtId="0" fontId="103" fillId="0" borderId="0" xfId="430" applyNumberFormat="1" applyFont="1" applyBorder="1" applyAlignment="1">
      <alignment horizontal="center"/>
    </xf>
    <xf numFmtId="0" fontId="103" fillId="0" borderId="12" xfId="430" applyFont="1" applyBorder="1" applyAlignment="1">
      <alignment horizontal="left" vertical="top"/>
    </xf>
    <xf numFmtId="0" fontId="103" fillId="0" borderId="13" xfId="430" applyFont="1" applyBorder="1" applyAlignment="1">
      <alignment horizontal="left" vertical="top"/>
    </xf>
    <xf numFmtId="0" fontId="103" fillId="0" borderId="12" xfId="430" applyNumberFormat="1" applyFont="1" applyBorder="1" applyAlignment="1">
      <alignment vertical="top" wrapText="1"/>
    </xf>
    <xf numFmtId="0" fontId="103" fillId="0" borderId="13" xfId="430" applyNumberFormat="1" applyFont="1" applyBorder="1" applyAlignment="1">
      <alignment vertical="top" wrapText="1"/>
    </xf>
    <xf numFmtId="2" fontId="103" fillId="0" borderId="11" xfId="430" applyNumberFormat="1" applyFont="1" applyBorder="1" applyAlignment="1">
      <alignment horizontal="center" vertical="top"/>
    </xf>
    <xf numFmtId="2" fontId="103" fillId="0" borderId="12" xfId="430" applyNumberFormat="1" applyFont="1" applyBorder="1" applyAlignment="1">
      <alignment horizontal="center" vertical="top"/>
    </xf>
    <xf numFmtId="2" fontId="103" fillId="0" borderId="13" xfId="430" applyNumberFormat="1" applyFont="1" applyBorder="1" applyAlignment="1">
      <alignment horizontal="center" vertical="top"/>
    </xf>
    <xf numFmtId="0" fontId="117" fillId="0" borderId="0" xfId="430" applyNumberFormat="1" applyFont="1" applyBorder="1" applyAlignment="1">
      <alignment horizontal="justify" vertical="top" wrapText="1"/>
    </xf>
    <xf numFmtId="0" fontId="103" fillId="0" borderId="0" xfId="430" applyNumberFormat="1" applyFont="1" applyBorder="1" applyAlignment="1">
      <alignment horizontal="justify" vertical="top" wrapText="1"/>
    </xf>
    <xf numFmtId="0" fontId="103" fillId="0" borderId="10" xfId="430" applyNumberFormat="1" applyFont="1" applyBorder="1" applyAlignment="1">
      <alignment horizontal="center" wrapText="1"/>
    </xf>
    <xf numFmtId="0" fontId="117" fillId="0" borderId="0" xfId="430" applyNumberFormat="1" applyFont="1" applyBorder="1" applyAlignment="1">
      <alignment horizontal="left"/>
    </xf>
    <xf numFmtId="0" fontId="103" fillId="0" borderId="10" xfId="430" applyNumberFormat="1" applyFont="1" applyBorder="1" applyAlignment="1">
      <alignment horizontal="center"/>
    </xf>
    <xf numFmtId="0" fontId="6" fillId="0" borderId="13" xfId="3" applyFont="1" applyFill="1" applyBorder="1" applyAlignment="1">
      <alignment horizontal="center"/>
    </xf>
    <xf numFmtId="0" fontId="6" fillId="0" borderId="10" xfId="3" applyFont="1" applyFill="1" applyBorder="1" applyAlignment="1">
      <alignment horizontal="center"/>
    </xf>
    <xf numFmtId="0" fontId="7" fillId="0" borderId="56" xfId="3" applyFont="1" applyFill="1" applyBorder="1" applyAlignment="1">
      <alignment horizontal="center" vertical="top" wrapText="1"/>
    </xf>
    <xf numFmtId="0" fontId="7" fillId="0" borderId="0" xfId="3" applyFont="1" applyFill="1" applyBorder="1" applyAlignment="1">
      <alignment horizontal="center" vertical="top" wrapText="1"/>
    </xf>
    <xf numFmtId="0" fontId="7" fillId="0" borderId="32" xfId="3" applyFont="1" applyFill="1" applyBorder="1" applyAlignment="1">
      <alignment horizontal="center" vertical="top" wrapText="1"/>
    </xf>
    <xf numFmtId="0" fontId="7" fillId="0" borderId="56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32" xfId="3" applyFont="1" applyFill="1" applyBorder="1" applyAlignment="1">
      <alignment horizontal="center" vertical="center" wrapText="1"/>
    </xf>
    <xf numFmtId="2" fontId="11" fillId="0" borderId="4" xfId="3" applyNumberFormat="1" applyFont="1" applyFill="1" applyBorder="1" applyAlignment="1">
      <alignment horizontal="center" vertical="center" wrapText="1"/>
    </xf>
    <xf numFmtId="0" fontId="6" fillId="0" borderId="4" xfId="3" applyFill="1" applyBorder="1" applyAlignment="1">
      <alignment horizontal="center" vertical="center" wrapText="1"/>
    </xf>
    <xf numFmtId="0" fontId="6" fillId="0" borderId="50" xfId="3" applyFill="1" applyBorder="1" applyAlignment="1">
      <alignment horizontal="center" vertical="center" wrapText="1"/>
    </xf>
    <xf numFmtId="0" fontId="95" fillId="0" borderId="0" xfId="3" applyFont="1" applyFill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0" fontId="6" fillId="0" borderId="0" xfId="3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49" fontId="10" fillId="0" borderId="18" xfId="3" applyNumberFormat="1" applyFont="1" applyFill="1" applyBorder="1" applyAlignment="1">
      <alignment horizontal="center" vertical="center" wrapText="1"/>
    </xf>
    <xf numFmtId="49" fontId="10" fillId="0" borderId="19" xfId="3" applyNumberFormat="1" applyFont="1" applyFill="1" applyBorder="1" applyAlignment="1">
      <alignment horizontal="center" vertical="center" wrapText="1"/>
    </xf>
    <xf numFmtId="49" fontId="10" fillId="0" borderId="55" xfId="3" applyNumberFormat="1" applyFont="1" applyFill="1" applyBorder="1" applyAlignment="1">
      <alignment horizontal="center" vertical="center" wrapText="1"/>
    </xf>
    <xf numFmtId="49" fontId="10" fillId="0" borderId="51" xfId="3" applyNumberFormat="1" applyFont="1" applyFill="1" applyBorder="1" applyAlignment="1">
      <alignment horizontal="center" vertical="center" wrapText="1"/>
    </xf>
    <xf numFmtId="49" fontId="10" fillId="0" borderId="52" xfId="3" applyNumberFormat="1" applyFont="1" applyFill="1" applyBorder="1" applyAlignment="1">
      <alignment horizontal="center" vertical="center" wrapText="1"/>
    </xf>
    <xf numFmtId="49" fontId="10" fillId="0" borderId="49" xfId="3" applyNumberFormat="1" applyFont="1" applyFill="1" applyBorder="1" applyAlignment="1">
      <alignment horizontal="center" vertical="center" wrapText="1"/>
    </xf>
    <xf numFmtId="49" fontId="10" fillId="0" borderId="17" xfId="3" applyNumberFormat="1" applyFont="1" applyFill="1" applyBorder="1" applyAlignment="1">
      <alignment horizontal="center" vertical="center" wrapText="1"/>
    </xf>
    <xf numFmtId="49" fontId="10" fillId="0" borderId="21" xfId="3" applyNumberFormat="1" applyFont="1" applyFill="1" applyBorder="1" applyAlignment="1">
      <alignment horizontal="center" vertical="center" wrapText="1"/>
    </xf>
    <xf numFmtId="0" fontId="7" fillId="0" borderId="47" xfId="3" applyFont="1" applyFill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 wrapText="1"/>
    </xf>
    <xf numFmtId="0" fontId="7" fillId="0" borderId="42" xfId="3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83" xfId="0" applyFont="1" applyFill="1" applyBorder="1" applyAlignment="1">
      <alignment horizontal="center"/>
    </xf>
    <xf numFmtId="0" fontId="2" fillId="0" borderId="85" xfId="0" applyFont="1" applyFill="1" applyBorder="1" applyAlignment="1">
      <alignment horizontal="center"/>
    </xf>
    <xf numFmtId="0" fontId="2" fillId="0" borderId="74" xfId="0" applyFont="1" applyFill="1" applyBorder="1" applyAlignment="1">
      <alignment horizontal="center"/>
    </xf>
    <xf numFmtId="0" fontId="2" fillId="0" borderId="86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left" wrapText="1"/>
    </xf>
    <xf numFmtId="0" fontId="2" fillId="0" borderId="47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center" wrapText="1"/>
    </xf>
    <xf numFmtId="0" fontId="2" fillId="0" borderId="84" xfId="0" applyFont="1" applyFill="1" applyBorder="1" applyAlignment="1">
      <alignment horizontal="center" wrapText="1"/>
    </xf>
    <xf numFmtId="0" fontId="2" fillId="0" borderId="52" xfId="0" applyFont="1" applyFill="1" applyBorder="1" applyAlignment="1">
      <alignment horizontal="center" wrapText="1"/>
    </xf>
    <xf numFmtId="0" fontId="2" fillId="0" borderId="43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33" fillId="0" borderId="0" xfId="0" applyFont="1" applyFill="1" applyAlignment="1">
      <alignment horizontal="center"/>
    </xf>
  </cellXfs>
  <cellStyles count="432">
    <cellStyle name="_061220 Формы для всех" xfId="4"/>
    <cellStyle name="_Бюджет (база-2007)" xfId="5"/>
    <cellStyle name="”ќђќ‘ћ‚›‰" xfId="6"/>
    <cellStyle name="”љ‘ђћ‚ђќќ›‰" xfId="7"/>
    <cellStyle name="„…ќ…†ќ›‰" xfId="8"/>
    <cellStyle name="‡ђѓћ‹ћ‚ћљ1" xfId="9"/>
    <cellStyle name="‡ђѓћ‹ћ‚ћљ2" xfId="10"/>
    <cellStyle name="’ћѓћ‚›‰" xfId="11"/>
    <cellStyle name="" xfId="12"/>
    <cellStyle name="" xfId="13"/>
    <cellStyle name="" xfId="14"/>
    <cellStyle name="_20 26 для тарифа 2014г" xfId="15"/>
    <cellStyle name="_20 26 для тарифа 2014г" xfId="16"/>
    <cellStyle name="_Êíèãà3 Èñïðàâëåííàÿ" xfId="17"/>
    <cellStyle name="_Êíèãà3 Èñïðàâëåííàÿ" xfId="18"/>
    <cellStyle name="_Êíèãà3 Èñïðàâëåííàÿ_20 26 для тарифа 2014г" xfId="19"/>
    <cellStyle name="_Êíèãà3 Èñïðàâëåííàÿ_20 26 для тарифа 2014г" xfId="20"/>
    <cellStyle name="_Êíèãà3 Èñïðàâëåííàÿ_Кедровка объем 132" xfId="21"/>
    <cellStyle name="_Êíèãà3 Èñïðàâëåííàÿ_Кедровка объем 132" xfId="22"/>
    <cellStyle name="_Кедровка объем 132" xfId="23"/>
    <cellStyle name="_Кедровка объем 132" xfId="24"/>
    <cellStyle name="_Ф-1И2" xfId="25"/>
    <cellStyle name="_Ф-1И2" xfId="26"/>
    <cellStyle name="_Ф-1И2_20 26 для тарифа 2014г" xfId="27"/>
    <cellStyle name="_Ф-1И2_20 26 для тарифа 2014г" xfId="28"/>
    <cellStyle name="_Ф-1И2_Êíèãà3 Èñïðàâëåííàÿ" xfId="29"/>
    <cellStyle name="_Ф-1И2_Êíèãà3 Èñïðàâëåííàÿ" xfId="30"/>
    <cellStyle name="_Ф-1И2_Êíèãà3 Èñïðàâëåííàÿ_20 26 для тарифа 2014г" xfId="31"/>
    <cellStyle name="_Ф-1И2_Êíèãà3 Èñïðàâëåííàÿ_20 26 для тарифа 2014г" xfId="32"/>
    <cellStyle name="_Ф-1И2_Êíèãà3 Èñïðàâëåííàÿ_Кедровка объем 132" xfId="33"/>
    <cellStyle name="_Ф-1И2_Êíèãà3 Èñïðàâëåííàÿ_Кедровка объем 132" xfId="34"/>
    <cellStyle name="_Ф-1И2_Кедровка объем 132" xfId="35"/>
    <cellStyle name="_Ф-1И2_Кедровка объем 132" xfId="36"/>
    <cellStyle name="" xfId="37"/>
    <cellStyle name="" xfId="38"/>
    <cellStyle name="_20 26 для тарифа 2014г" xfId="39"/>
    <cellStyle name="_20 26 для тарифа 2014г" xfId="40"/>
    <cellStyle name="_Êíèãà3 Èñïðàâëåííàÿ" xfId="41"/>
    <cellStyle name="_Êíèãà3 Èñïðàâëåííàÿ" xfId="42"/>
    <cellStyle name="_Êíèãà3 Èñïðàâëåííàÿ_20 26 для тарифа 2014г" xfId="43"/>
    <cellStyle name="_Êíèãà3 Èñïðàâëåííàÿ_20 26 для тарифа 2014г" xfId="44"/>
    <cellStyle name="_Êíèãà3 Èñïðàâëåííàÿ_Кедровка объем 132" xfId="45"/>
    <cellStyle name="_Êíèãà3 Èñïðàâëåííàÿ_Кедровка объем 132" xfId="46"/>
    <cellStyle name="_Кедровка объем 132" xfId="47"/>
    <cellStyle name="_Кедровка объем 132" xfId="48"/>
    <cellStyle name="_Ф-1И2" xfId="49"/>
    <cellStyle name="_Ф-1И2" xfId="50"/>
    <cellStyle name="_Ф-1И2_20 26 для тарифа 2014г" xfId="51"/>
    <cellStyle name="_Ф-1И2_20 26 для тарифа 2014г" xfId="52"/>
    <cellStyle name="_Ф-1И2_Êíèãà3 Èñïðàâëåííàÿ" xfId="53"/>
    <cellStyle name="_Ф-1И2_Êíèãà3 Èñïðàâëåííàÿ" xfId="54"/>
    <cellStyle name="_Ф-1И2_Êíèãà3 Èñïðàâëåííàÿ_20 26 для тарифа 2014г" xfId="55"/>
    <cellStyle name="_Ф-1И2_Êíèãà3 Èñïðàâëåííàÿ_20 26 для тарифа 2014г" xfId="56"/>
    <cellStyle name="_Ф-1И2_Êíèãà3 Èñïðàâëåííàÿ_Кедровка объем 132" xfId="57"/>
    <cellStyle name="_Ф-1И2_Êíèãà3 Èñïðàâëåííàÿ_Кедровка объем 132" xfId="58"/>
    <cellStyle name="_Ф-1И2_Кедровка объем 132" xfId="59"/>
    <cellStyle name="_Ф-1И2_Кедровка объем 132" xfId="60"/>
    <cellStyle name="" xfId="61"/>
    <cellStyle name="1" xfId="62"/>
    <cellStyle name="2" xfId="63"/>
    <cellStyle name="20% - Accent1" xfId="64"/>
    <cellStyle name="20% - Accent2" xfId="65"/>
    <cellStyle name="20% - Accent3" xfId="66"/>
    <cellStyle name="20% - Accent4" xfId="67"/>
    <cellStyle name="20% - Accent5" xfId="68"/>
    <cellStyle name="20% - Accent6" xfId="69"/>
    <cellStyle name="20% - Акцент1 2" xfId="70"/>
    <cellStyle name="20% - Акцент1 3" xfId="71"/>
    <cellStyle name="20% - Акцент1 4" xfId="72"/>
    <cellStyle name="20% - Акцент1 5" xfId="73"/>
    <cellStyle name="20% - Акцент1 6" xfId="74"/>
    <cellStyle name="20% - Акцент2 2" xfId="75"/>
    <cellStyle name="20% - Акцент2 3" xfId="76"/>
    <cellStyle name="20% - Акцент2 4" xfId="77"/>
    <cellStyle name="20% - Акцент2 5" xfId="78"/>
    <cellStyle name="20% - Акцент2 6" xfId="79"/>
    <cellStyle name="20% - Акцент3 2" xfId="80"/>
    <cellStyle name="20% - Акцент3 3" xfId="81"/>
    <cellStyle name="20% - Акцент3 4" xfId="82"/>
    <cellStyle name="20% - Акцент3 5" xfId="83"/>
    <cellStyle name="20% - Акцент3 6" xfId="84"/>
    <cellStyle name="20% - Акцент4 2" xfId="85"/>
    <cellStyle name="20% - Акцент4 3" xfId="86"/>
    <cellStyle name="20% - Акцент4 4" xfId="87"/>
    <cellStyle name="20% - Акцент4 5" xfId="88"/>
    <cellStyle name="20% - Акцент4 6" xfId="89"/>
    <cellStyle name="20% - Акцент5 2" xfId="90"/>
    <cellStyle name="20% - Акцент5 3" xfId="91"/>
    <cellStyle name="20% - Акцент5 4" xfId="92"/>
    <cellStyle name="20% - Акцент5 5" xfId="93"/>
    <cellStyle name="20% - Акцент5 6" xfId="94"/>
    <cellStyle name="20% - Акцент6 2" xfId="95"/>
    <cellStyle name="20% - Акцент6 3" xfId="96"/>
    <cellStyle name="20% - Акцент6 4" xfId="97"/>
    <cellStyle name="20% - Акцент6 5" xfId="98"/>
    <cellStyle name="20% - Акцент6 6" xfId="99"/>
    <cellStyle name="40% - Accent1" xfId="100"/>
    <cellStyle name="40% - Accent2" xfId="101"/>
    <cellStyle name="40% - Accent3" xfId="102"/>
    <cellStyle name="40% - Accent4" xfId="103"/>
    <cellStyle name="40% - Accent5" xfId="104"/>
    <cellStyle name="40% - Accent6" xfId="105"/>
    <cellStyle name="40% - Акцент1 2" xfId="106"/>
    <cellStyle name="40% - Акцент1 3" xfId="107"/>
    <cellStyle name="40% - Акцент1 4" xfId="108"/>
    <cellStyle name="40% - Акцент1 5" xfId="109"/>
    <cellStyle name="40% - Акцент1 6" xfId="110"/>
    <cellStyle name="40% - Акцент2 2" xfId="111"/>
    <cellStyle name="40% - Акцент2 3" xfId="112"/>
    <cellStyle name="40% - Акцент2 4" xfId="113"/>
    <cellStyle name="40% - Акцент2 5" xfId="114"/>
    <cellStyle name="40% - Акцент2 6" xfId="115"/>
    <cellStyle name="40% - Акцент3 2" xfId="116"/>
    <cellStyle name="40% - Акцент3 3" xfId="117"/>
    <cellStyle name="40% - Акцент3 4" xfId="118"/>
    <cellStyle name="40% - Акцент3 5" xfId="119"/>
    <cellStyle name="40% - Акцент3 6" xfId="120"/>
    <cellStyle name="40% - Акцент4 2" xfId="121"/>
    <cellStyle name="40% - Акцент4 3" xfId="122"/>
    <cellStyle name="40% - Акцент4 4" xfId="123"/>
    <cellStyle name="40% - Акцент4 5" xfId="124"/>
    <cellStyle name="40% - Акцент4 6" xfId="125"/>
    <cellStyle name="40% - Акцент5 2" xfId="126"/>
    <cellStyle name="40% - Акцент5 3" xfId="127"/>
    <cellStyle name="40% - Акцент5 4" xfId="128"/>
    <cellStyle name="40% - Акцент5 5" xfId="129"/>
    <cellStyle name="40% - Акцент5 6" xfId="130"/>
    <cellStyle name="40% - Акцент6 2" xfId="131"/>
    <cellStyle name="40% - Акцент6 3" xfId="132"/>
    <cellStyle name="40% - Акцент6 4" xfId="133"/>
    <cellStyle name="40% - Акцент6 5" xfId="134"/>
    <cellStyle name="40% - Акцент6 6" xfId="135"/>
    <cellStyle name="60% - Accent1" xfId="136"/>
    <cellStyle name="60% - Accent2" xfId="137"/>
    <cellStyle name="60% - Accent3" xfId="138"/>
    <cellStyle name="60% - Accent4" xfId="139"/>
    <cellStyle name="60% - Accent5" xfId="140"/>
    <cellStyle name="60% - Accent6" xfId="141"/>
    <cellStyle name="60% - Акцент1 2" xfId="142"/>
    <cellStyle name="60% - Акцент1 3" xfId="143"/>
    <cellStyle name="60% - Акцент1 4" xfId="144"/>
    <cellStyle name="60% - Акцент1 5" xfId="145"/>
    <cellStyle name="60% - Акцент2 2" xfId="146"/>
    <cellStyle name="60% - Акцент2 3" xfId="147"/>
    <cellStyle name="60% - Акцент2 4" xfId="148"/>
    <cellStyle name="60% - Акцент2 5" xfId="149"/>
    <cellStyle name="60% - Акцент3 2" xfId="150"/>
    <cellStyle name="60% - Акцент3 3" xfId="151"/>
    <cellStyle name="60% - Акцент3 4" xfId="152"/>
    <cellStyle name="60% - Акцент3 5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5 2" xfId="158"/>
    <cellStyle name="60% - Акцент5 3" xfId="159"/>
    <cellStyle name="60% - Акцент5 4" xfId="160"/>
    <cellStyle name="60% - Акцент5 5" xfId="161"/>
    <cellStyle name="60% - Акцент6 2" xfId="162"/>
    <cellStyle name="60% - Акцент6 3" xfId="163"/>
    <cellStyle name="60% - Акцент6 4" xfId="164"/>
    <cellStyle name="60% - Акцент6 5" xfId="165"/>
    <cellStyle name="Aaia?iue [0]_laroux" xfId="166"/>
    <cellStyle name="Aaia?iue_laroux" xfId="167"/>
    <cellStyle name="Accent1" xfId="168"/>
    <cellStyle name="Accent2" xfId="169"/>
    <cellStyle name="Accent3" xfId="170"/>
    <cellStyle name="Accent4" xfId="171"/>
    <cellStyle name="Accent5" xfId="172"/>
    <cellStyle name="Accent6" xfId="173"/>
    <cellStyle name="Aeia?nnueea" xfId="174"/>
    <cellStyle name="Bad" xfId="175"/>
    <cellStyle name="Calc Currency (0)" xfId="176"/>
    <cellStyle name="Calc Currency (2)" xfId="177"/>
    <cellStyle name="Calc Percent (0)" xfId="178"/>
    <cellStyle name="Calc Percent (1)" xfId="179"/>
    <cellStyle name="Calc Percent (2)" xfId="180"/>
    <cellStyle name="Calc Units (0)" xfId="181"/>
    <cellStyle name="Calc Units (1)" xfId="182"/>
    <cellStyle name="Calc Units (2)" xfId="183"/>
    <cellStyle name="Calculation" xfId="184"/>
    <cellStyle name="Check Cell" xfId="185"/>
    <cellStyle name="Comma [0]_#6 Temps &amp; Contractors" xfId="186"/>
    <cellStyle name="Comma [00]" xfId="187"/>
    <cellStyle name="Comma_#6 Temps &amp; Contractors" xfId="188"/>
    <cellStyle name="Comma0" xfId="189"/>
    <cellStyle name="Currency [0]_#6 Temps &amp; Contractors" xfId="190"/>
    <cellStyle name="Currency [00]" xfId="191"/>
    <cellStyle name="Currency_#6 Temps &amp; Contractors" xfId="192"/>
    <cellStyle name="Currency0" xfId="193"/>
    <cellStyle name="Date" xfId="194"/>
    <cellStyle name="Date Short" xfId="195"/>
    <cellStyle name="DELTA" xfId="196"/>
    <cellStyle name="Enter Currency (0)" xfId="197"/>
    <cellStyle name="Enter Currency (2)" xfId="198"/>
    <cellStyle name="Enter Units (0)" xfId="199"/>
    <cellStyle name="Enter Units (1)" xfId="200"/>
    <cellStyle name="Enter Units (2)" xfId="201"/>
    <cellStyle name="Euro" xfId="202"/>
    <cellStyle name="Explanatory Text" xfId="203"/>
    <cellStyle name="F2" xfId="204"/>
    <cellStyle name="F3" xfId="205"/>
    <cellStyle name="F4" xfId="206"/>
    <cellStyle name="F5" xfId="207"/>
    <cellStyle name="F6" xfId="208"/>
    <cellStyle name="F7" xfId="209"/>
    <cellStyle name="F8" xfId="210"/>
    <cellStyle name="Fixed" xfId="211"/>
    <cellStyle name="Flag" xfId="212"/>
    <cellStyle name="Good" xfId="213"/>
    <cellStyle name="Head 1" xfId="214"/>
    <cellStyle name="Header1" xfId="215"/>
    <cellStyle name="Header2" xfId="216"/>
    <cellStyle name="Heading 1" xfId="217"/>
    <cellStyle name="Heading 2" xfId="218"/>
    <cellStyle name="Heading 3" xfId="219"/>
    <cellStyle name="Heading 4" xfId="220"/>
    <cellStyle name="Heading1" xfId="221"/>
    <cellStyle name="Heading2" xfId="222"/>
    <cellStyle name="Heading3" xfId="223"/>
    <cellStyle name="Heading4" xfId="224"/>
    <cellStyle name="Heading5" xfId="225"/>
    <cellStyle name="Heading6" xfId="226"/>
    <cellStyle name="highlight" xfId="227"/>
    <cellStyle name="Horizontal" xfId="228"/>
    <cellStyle name="Iau?iue_---- Price-list ----" xfId="229"/>
    <cellStyle name="Input" xfId="230"/>
    <cellStyle name="Ioe?uaaaoayny aeia?nnueea" xfId="231"/>
    <cellStyle name="ISO" xfId="232"/>
    <cellStyle name="Link Currency (0)" xfId="233"/>
    <cellStyle name="Link Currency (2)" xfId="234"/>
    <cellStyle name="Link Units (0)" xfId="235"/>
    <cellStyle name="Link Units (1)" xfId="236"/>
    <cellStyle name="Link Units (2)" xfId="237"/>
    <cellStyle name="Linked Cell" xfId="238"/>
    <cellStyle name="Matrix" xfId="239"/>
    <cellStyle name="Milliers [0]_laroux" xfId="240"/>
    <cellStyle name="Milliers_laroux" xfId="241"/>
    <cellStyle name="Monetaire [0]_laroux" xfId="242"/>
    <cellStyle name="Monetaire_laroux" xfId="243"/>
    <cellStyle name="Neutral" xfId="244"/>
    <cellStyle name="Normal_# 41-Market &amp;Trends" xfId="245"/>
    <cellStyle name="normalni_laroux" xfId="246"/>
    <cellStyle name="normalPercent" xfId="247"/>
    <cellStyle name="nornPercent" xfId="248"/>
    <cellStyle name="Note" xfId="249"/>
    <cellStyle name="Oeiainiaue [0]_laroux" xfId="250"/>
    <cellStyle name="Oeiainiaue_laroux" xfId="251"/>
    <cellStyle name="Option" xfId="252"/>
    <cellStyle name="OptionHeading" xfId="253"/>
    <cellStyle name="Ouny?e [0]_PR_KOMPL" xfId="254"/>
    <cellStyle name="Output" xfId="255"/>
    <cellStyle name="Paaotsikko" xfId="256"/>
    <cellStyle name="Percent [0]" xfId="257"/>
    <cellStyle name="Percent [00]" xfId="258"/>
    <cellStyle name="Percent_#6 Temps &amp; Contractors" xfId="259"/>
    <cellStyle name="PrePop Currency (0)" xfId="260"/>
    <cellStyle name="PrePop Currency (2)" xfId="261"/>
    <cellStyle name="PrePop Units (0)" xfId="262"/>
    <cellStyle name="PrePop Units (1)" xfId="263"/>
    <cellStyle name="PrePop Units (2)" xfId="264"/>
    <cellStyle name="Price" xfId="265"/>
    <cellStyle name="S0" xfId="266"/>
    <cellStyle name="S1" xfId="267"/>
    <cellStyle name="S10" xfId="268"/>
    <cellStyle name="S11" xfId="269"/>
    <cellStyle name="S3" xfId="270"/>
    <cellStyle name="S4" xfId="271"/>
    <cellStyle name="S5" xfId="272"/>
    <cellStyle name="S6" xfId="273"/>
    <cellStyle name="S7" xfId="274"/>
    <cellStyle name="S8" xfId="275"/>
    <cellStyle name="S9" xfId="276"/>
    <cellStyle name="Text Indent A" xfId="277"/>
    <cellStyle name="Text Indent B" xfId="278"/>
    <cellStyle name="Text Indent C" xfId="279"/>
    <cellStyle name="Title" xfId="280"/>
    <cellStyle name="Total" xfId="281"/>
    <cellStyle name="Unit" xfId="282"/>
    <cellStyle name="Valiotsikko" xfId="283"/>
    <cellStyle name="Vertical" xfId="284"/>
    <cellStyle name="Warning Text" xfId="285"/>
    <cellStyle name="Акцент1 2" xfId="286"/>
    <cellStyle name="Акцент1 3" xfId="287"/>
    <cellStyle name="Акцент1 4" xfId="288"/>
    <cellStyle name="Акцент1 5" xfId="289"/>
    <cellStyle name="Акцент2 2" xfId="290"/>
    <cellStyle name="Акцент2 3" xfId="291"/>
    <cellStyle name="Акцент2 4" xfId="292"/>
    <cellStyle name="Акцент2 5" xfId="293"/>
    <cellStyle name="Акцент3 2" xfId="294"/>
    <cellStyle name="Акцент3 3" xfId="295"/>
    <cellStyle name="Акцент3 4" xfId="296"/>
    <cellStyle name="Акцент3 5" xfId="297"/>
    <cellStyle name="Акцент4 2" xfId="298"/>
    <cellStyle name="Акцент4 3" xfId="299"/>
    <cellStyle name="Акцент4 4" xfId="300"/>
    <cellStyle name="Акцент4 5" xfId="301"/>
    <cellStyle name="Акцент5 2" xfId="302"/>
    <cellStyle name="Акцент5 3" xfId="303"/>
    <cellStyle name="Акцент5 4" xfId="304"/>
    <cellStyle name="Акцент5 5" xfId="305"/>
    <cellStyle name="Акцент6 2" xfId="306"/>
    <cellStyle name="Акцент6 3" xfId="307"/>
    <cellStyle name="Акцент6 4" xfId="308"/>
    <cellStyle name="Акцент6 5" xfId="309"/>
    <cellStyle name="вагоны" xfId="310"/>
    <cellStyle name="Ввод  2" xfId="311"/>
    <cellStyle name="Ввод  3" xfId="312"/>
    <cellStyle name="Ввод  4" xfId="313"/>
    <cellStyle name="Ввод  5" xfId="314"/>
    <cellStyle name="Вывод 2" xfId="315"/>
    <cellStyle name="Вывод 3" xfId="316"/>
    <cellStyle name="Вывод 4" xfId="317"/>
    <cellStyle name="Вывод 5" xfId="318"/>
    <cellStyle name="Вычисление 2" xfId="319"/>
    <cellStyle name="Вычисление 3" xfId="320"/>
    <cellStyle name="Вычисление 4" xfId="321"/>
    <cellStyle name="Вычисление 5" xfId="322"/>
    <cellStyle name="Дата" xfId="323"/>
    <cellStyle name="Дата UTL" xfId="324"/>
    <cellStyle name="Денежный 2" xfId="424"/>
    <cellStyle name="Денежный 3" xfId="425"/>
    <cellStyle name="Заголовок" xfId="325"/>
    <cellStyle name="Заголовок 1 2" xfId="326"/>
    <cellStyle name="Заголовок 1 3" xfId="327"/>
    <cellStyle name="Заголовок 1 4" xfId="328"/>
    <cellStyle name="Заголовок 1 5" xfId="329"/>
    <cellStyle name="Заголовок 2 2" xfId="330"/>
    <cellStyle name="Заголовок 2 3" xfId="331"/>
    <cellStyle name="Заголовок 2 4" xfId="332"/>
    <cellStyle name="Заголовок 2 5" xfId="333"/>
    <cellStyle name="Заголовок 3 2" xfId="334"/>
    <cellStyle name="Заголовок 3 3" xfId="335"/>
    <cellStyle name="Заголовок 3 4" xfId="336"/>
    <cellStyle name="Заголовок 3 5" xfId="337"/>
    <cellStyle name="Заголовок 4 2" xfId="338"/>
    <cellStyle name="Заголовок 4 3" xfId="339"/>
    <cellStyle name="Заголовок 4 4" xfId="340"/>
    <cellStyle name="Заголовок 4 5" xfId="341"/>
    <cellStyle name="ЗаголовокСтолбца" xfId="342"/>
    <cellStyle name="Значение" xfId="343"/>
    <cellStyle name="Итог 2" xfId="344"/>
    <cellStyle name="Итог 3" xfId="345"/>
    <cellStyle name="Итог 4" xfId="346"/>
    <cellStyle name="Итог 5" xfId="347"/>
    <cellStyle name="Контрольная ячейка 2" xfId="348"/>
    <cellStyle name="Контрольная ячейка 3" xfId="349"/>
    <cellStyle name="Контрольная ячейка 4" xfId="350"/>
    <cellStyle name="Контрольная ячейка 5" xfId="351"/>
    <cellStyle name="Название 2" xfId="352"/>
    <cellStyle name="Название 3" xfId="353"/>
    <cellStyle name="Название 4" xfId="354"/>
    <cellStyle name="Название 5" xfId="355"/>
    <cellStyle name="Нейтральный 2" xfId="356"/>
    <cellStyle name="Нейтральный 3" xfId="357"/>
    <cellStyle name="Нейтральный 4" xfId="358"/>
    <cellStyle name="Нейтральный 5" xfId="359"/>
    <cellStyle name="Обычный" xfId="0" builtinId="0"/>
    <cellStyle name="Обычный 10" xfId="360"/>
    <cellStyle name="Обычный 11" xfId="3"/>
    <cellStyle name="Обычный 12" xfId="426"/>
    <cellStyle name="Обычный 13" xfId="361"/>
    <cellStyle name="Обычный 14" xfId="362"/>
    <cellStyle name="Обычный 16" xfId="363"/>
    <cellStyle name="Обычный 2" xfId="1"/>
    <cellStyle name="Обычный 2 2" xfId="364"/>
    <cellStyle name="Обычный 2 2 2" xfId="430"/>
    <cellStyle name="Обычный 2 3" xfId="365"/>
    <cellStyle name="Обычный 2 4" xfId="366"/>
    <cellStyle name="Обычный 2_Xl0000104" xfId="427"/>
    <cellStyle name="Обычный 3" xfId="367"/>
    <cellStyle name="Обычный 3 2" xfId="368"/>
    <cellStyle name="Обычный 3 3" xfId="431"/>
    <cellStyle name="Обычный 3_Лист в Фрагмент" xfId="369"/>
    <cellStyle name="Обычный 4" xfId="370"/>
    <cellStyle name="Обычный 5" xfId="371"/>
    <cellStyle name="Обычный 6" xfId="372"/>
    <cellStyle name="Обычный 7" xfId="373"/>
    <cellStyle name="Обычный 8" xfId="374"/>
    <cellStyle name="Обычный 8 2" xfId="428"/>
    <cellStyle name="Обычный 9" xfId="375"/>
    <cellStyle name="Обычный_физика ООО Плотниковский тепловодснаб" xfId="429"/>
    <cellStyle name="Плохой 2" xfId="376"/>
    <cellStyle name="Плохой 3" xfId="377"/>
    <cellStyle name="Плохой 4" xfId="378"/>
    <cellStyle name="Плохой 5" xfId="379"/>
    <cellStyle name="Пояснение 2" xfId="380"/>
    <cellStyle name="Пояснение 3" xfId="381"/>
    <cellStyle name="Пояснение 4" xfId="382"/>
    <cellStyle name="Пояснение 5" xfId="383"/>
    <cellStyle name="Приложение" xfId="384"/>
    <cellStyle name="Примечание 2" xfId="385"/>
    <cellStyle name="Примечание 3" xfId="386"/>
    <cellStyle name="Примечание 4" xfId="387"/>
    <cellStyle name="Примечание 5" xfId="388"/>
    <cellStyle name="Примечание 6" xfId="389"/>
    <cellStyle name="Процент_11п" xfId="390"/>
    <cellStyle name="Процентный 2" xfId="2"/>
    <cellStyle name="Процентный 3" xfId="391"/>
    <cellStyle name="Процентный 4" xfId="392"/>
    <cellStyle name="Процентный 5" xfId="393"/>
    <cellStyle name="Процентный 6" xfId="394"/>
    <cellStyle name="Процентный 7" xfId="395"/>
    <cellStyle name="Связанная ячейка 2" xfId="396"/>
    <cellStyle name="Связанная ячейка 3" xfId="397"/>
    <cellStyle name="Связанная ячейка 4" xfId="398"/>
    <cellStyle name="Связанная ячейка 5" xfId="399"/>
    <cellStyle name="Стиль 1" xfId="400"/>
    <cellStyle name="Стиль_названий" xfId="401"/>
    <cellStyle name="Текст предупреждения 2" xfId="402"/>
    <cellStyle name="Текст предупреждения 3" xfId="403"/>
    <cellStyle name="Текст предупреждения 4" xfId="404"/>
    <cellStyle name="Текст предупреждения 5" xfId="405"/>
    <cellStyle name="тонны" xfId="406"/>
    <cellStyle name="Тысячи [0]_12п" xfId="407"/>
    <cellStyle name="Тысячи_11п" xfId="408"/>
    <cellStyle name="Финансовый 2" xfId="409"/>
    <cellStyle name="Финансовый 2 2" xfId="410"/>
    <cellStyle name="Финансовый 3" xfId="411"/>
    <cellStyle name="Финансовый 4" xfId="412"/>
    <cellStyle name="Финансовый 5" xfId="413"/>
    <cellStyle name="Финансовый 6" xfId="414"/>
    <cellStyle name="Финансовый 7" xfId="415"/>
    <cellStyle name="Финансовый 7 2" xfId="416"/>
    <cellStyle name="Формула_Книга1" xfId="417"/>
    <cellStyle name="ФормулаВБ_Книга1" xfId="418"/>
    <cellStyle name="Хороший 2" xfId="419"/>
    <cellStyle name="Хороший 3" xfId="420"/>
    <cellStyle name="Хороший 4" xfId="421"/>
    <cellStyle name="Хороший 5" xfId="422"/>
    <cellStyle name="Џђћ–…ќ’ќ›‰" xfId="4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5076825</xdr:colOff>
      <xdr:row>0</xdr:row>
      <xdr:rowOff>85725</xdr:rowOff>
    </xdr:from>
    <xdr:to>
      <xdr:col>9</xdr:col>
      <xdr:colOff>952500</xdr:colOff>
      <xdr:row>0</xdr:row>
      <xdr:rowOff>819150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86375" y="85725"/>
          <a:ext cx="5781675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/>
        <a:lstStyle/>
        <a:p>
          <a:pPr algn="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Приложение № 1 к экспертному заключению </a:t>
          </a:r>
        </a:p>
        <a:p>
          <a:pPr algn="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ОАО "Агентство энергетических экспертиз" от "10" октября 2014 г.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11</xdr:col>
      <xdr:colOff>1057275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19900" y="0"/>
          <a:ext cx="329565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№ 1                                                                                            к экспертному заключению                                          ОАО "Агентство энергетических экспертиз                     " от " __ " ________ 2015 г.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88;&#1072;&#1090;&#1080;&#1085;&#1072;&#1051;&#1070;/&#1056;&#1072;&#1073;&#1086;&#1095;&#1080;&#1081;%20&#1089;&#1090;&#1086;&#1083;/&#1056;&#1072;&#1089;&#1095;&#1077;&#1090;&#1099;%20&#1087;&#1086;%20&#1040;&#1041;&#1050;%20&#1085;&#1072;%202014%20&#1075;&#1086;&#1076;/&#1055;&#1083;&#1072;&#1090;&#1072;%20&#1040;&#1041;&#1050;%202014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ad\&#1086;&#1073;&#1097;&#1080;&#1077;%20&#1092;&#1072;&#1081;&#1083;&#1099;%20&#1073;&#1082;&#1089;\&#1056;&#1069;&#1050;\&#1056;&#1069;&#1050;%202014\&#1041;&#1077;&#1088;&#1077;&#1079;&#1086;&#1074;&#1089;&#1082;&#1080;&#1081;\&#1057;&#1084;&#1077;&#1090;&#1099;%20&#1041;&#1050;&#1057;%20&#1087;&#1086;%20&#1090;&#1072;&#1088;&#1080;&#1092;&#1091;%20(&#1070;&#1096;&#1082;&#1086;&#1074;&#107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al\&#1076;&#1086;&#1082;&#1091;&#1084;&#1077;&#1085;&#1090;&#1099;\&#1056;&#1069;&#1050;\&#1056;&#1069;&#1050;%202011\&#1040;&#1052;&#1054;&#1056;&#1058;&#1048;&#1047;&#1040;&#1062;&#1048;&#1071;%20&#1053;&#1040;%202011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MUL\Suek-Baykal$\USER\Everyone\KOMM\&#1057;&#1074;&#1086;&#1076;%20&#1089;&#1086;&#1094;%20&#1089;&#1092;&#1077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7;&#1077;&#1073;&#1077;&#1089;&#1090;&#1086;&#1080;&#1084;&#1086;&#1089;&#1090;&#1100;\&#1089;&#1077;&#1073;&#1077;&#1089;&#1090;&#1086;&#1080;&#1084;&#1086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al\&#1076;&#1086;&#1082;&#1091;&#1084;&#1077;&#1085;&#1090;&#1099;\&#1056;&#1069;&#1050;\&#1056;&#1069;&#1050;%202010\2010%20&#1043;&#1054;&#1044;%20&#1055;&#1045;&#1056;&#1045;&#1056;&#1040;&#1057;&#1063;&#1025;&#1058;!!!!%20(&#1054;&#1050;&#1058;&#1071;&#1041;&#1056;&#1068;%202009)\&#1069;&#1083;&#1077;&#1082;&#1090;&#1088;&#1086;&#1101;&#1085;&#1077;&#1088;&#1075;&#1080;&#1103;%20(&#1082;&#1086;&#1088;&#1088;-&#1082;&#1072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Documents%20and%20Settings\nigmatylin\&#1052;&#1086;&#1080;%20&#1076;&#1086;&#1082;&#1091;&#1084;&#1077;&#1085;&#1090;&#1099;\&#1041;&#1102;&#1076;&#1078;&#1077;&#1090;&#1099;\&#1054;&#1082;&#1090;&#1103;&#1073;&#1088;&#1100;\&#1041;&#1102;&#1076;&#1078;&#1077;&#1090;%20&#1086;&#1082;&#1090;&#1103;&#1073;&#1088;&#1100;%20&#1056;&#1059;&#105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_940\&#1045;&#1078;&#1077;&#1076;&#1085;&#1077;&#1074;&#1085;&#1099;&#1077;%20&#1088;&#1072;&#1087;&#1086;&#1088;&#1090;&#1099;\&#1087;&#1088;&#1086;&#1075;&#1088;&#1072;&#1084;&#1084;&#1072;%20&#1048;&#1083;&#1100;&#1076;&#1072;&#1088;&#1072;\&#1057;&#1077;&#1085;&#1090;&#1103;&#1073;&#1088;&#1100;%202002\&#1057;&#1077;&#1085;&#1090;&#1103;&#1073;&#1088;&#1100;%20&#1088;&#1072;&#1073;&#1086;&#1095;&#1080;&#1081;%20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WINDOWS\TEMP\&#1050;&#1083;&#1072;&#1089;&#1089;&#1080;&#1092;&#1080;&#1082;&#1072;&#1090;&#1086;&#1088;%202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!!!%20&#1042;&#1085;&#1091;&#1090;&#1088;&#1077;&#1085;&#1085;&#1103;&#1103;%20&#1087;&#1086;&#1095;&#1090;&#1072;\%23%23%23&#1050;&#1088;&#1080;&#1079;&#1080;&#1089;\&#1042;&#1085;&#1091;&#1090;&#1088;&#1077;&#1085;&#1085;&#1103;&#1103;%20&#1087;&#1086;&#1095;&#1090;&#1072;\&#1055;&#1077;&#1083;&#1100;&#1084;&#1077;&#1085;&#1077;&#1074;%20&#1057;&#1077;&#1088;&#1075;&#1077;&#1081;\&#1057;&#1077;&#1085;&#1090;&#1103;&#1073;&#1088;&#1100;&#1089;&#1082;&#1080;&#1077;%20&#1087;&#1083;&#1072;&#1085;&#1099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2;&#1089;&#1080;&#1085;&#1072;&#1052;&#1042;/Desktop/&#1057;&#1087;&#1088;&#1072;&#1074;&#1082;&#1080;%20&#1086;%20&#1089;&#1090;&#1088;&#1091;&#1082;&#1090;&#1091;&#1088;&#1077;/&#1056;&#1077;&#1075;&#1091;&#1083;&#1080;&#1088;&#1086;&#1074;&#1072;&#1085;&#1080;&#1077;%202016/&#1046;&#1050;&#1059;%20&#1050;&#1077;&#1084;&#1077;&#1088;&#1086;&#1074;&#1089;&#1082;&#1086;&#1075;&#1086;%20&#1088;&#1072;&#1081;&#1086;&#1085;&#1072;/&#1089;&#1084;&#1077;&#1090;&#1072;%20&#1046;&#1050;&#1059;%20&#1050;&#1077;&#1084;&#1077;&#1088;&#1086;&#1074;&#1089;&#1082;&#1086;&#1075;&#1086;%20&#1088;&#1072;&#1081;&#1086;&#1085;&#1072;%20&#1052;&#1072;&#1079;&#1091;&#1088;&#1086;&#1074;&#1086;%20&#1085;&#1072;%202016-2018%20(&#1089;%20&#1087;&#1088;&#1086;&#1074;&#1077;&#1088;&#1082;&#1086;&#1081;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2;&#1089;&#1080;&#1085;&#1072;&#1052;&#1042;/Desktop/&#1057;&#1087;&#1088;&#1072;&#1074;&#1082;&#1080;%20&#1086;%20&#1089;&#1090;&#1088;&#1091;&#1082;&#1090;&#1091;&#1088;&#1077;/&#1056;&#1077;&#1075;&#1091;&#1083;&#1080;&#1088;&#1086;&#1074;&#1072;&#1085;&#1080;&#1077;%202016/&#1046;&#1050;&#1059;%20&#1050;&#1077;&#1084;&#1077;&#1088;&#1086;&#1074;&#1089;&#1082;&#1086;&#1075;&#1086;%20&#1088;&#1072;&#1081;&#1086;&#1085;&#1072;/&#1052;&#1059;&#1055;%20&#1046;&#1050;&#1059;%20&#1050;&#1077;&#1084;&#1077;&#1088;.%20&#1088;&#1085;2015-2018%20&#1090;&#1077;&#1087;&#1083;&#1086;%20&#1090;&#1077;&#1087;&#1083;&#1086;&#1085;&#1086;&#1089;&#1080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Лист7"/>
      <sheetName val="Справочник ФККО"/>
      <sheetName val="Вещества загрязняющие воздух"/>
      <sheetName val="Вещества загрязняющие воду"/>
      <sheetName val="Нормативы платы за разм. отх."/>
      <sheetName val="Прочие справочники"/>
    </sheetNames>
    <sheetDataSet>
      <sheetData sheetId="0" refreshError="1"/>
      <sheetData sheetId="1" refreshError="1"/>
      <sheetData sheetId="2">
        <row r="2">
          <cell r="A2" t="str">
            <v xml:space="preserve"> 1000000000000</v>
          </cell>
          <cell r="B2" t="str">
            <v>Отходы органические природного происхождения (животного и растительного)</v>
          </cell>
        </row>
        <row r="3">
          <cell r="A3" t="str">
            <v xml:space="preserve"> 1100000000000</v>
          </cell>
          <cell r="B3" t="str">
            <v>Отходы производства пищевых и вкусовых продуктов</v>
          </cell>
        </row>
        <row r="4">
          <cell r="A4" t="str">
            <v xml:space="preserve"> 1110000000000</v>
          </cell>
          <cell r="B4" t="str">
            <v>Отходы производства пищевых  продуктов</v>
          </cell>
        </row>
        <row r="5">
          <cell r="A5" t="str">
            <v xml:space="preserve"> 1111000000000</v>
          </cell>
          <cell r="B5" t="str">
            <v>Отходы от переработки зерновых культур</v>
          </cell>
        </row>
        <row r="6">
          <cell r="A6" t="str">
            <v xml:space="preserve"> 1111010011995</v>
          </cell>
          <cell r="B6" t="str">
            <v>Пыль зерновая</v>
          </cell>
        </row>
        <row r="7">
          <cell r="A7" t="str">
            <v xml:space="preserve"> 1111020008995</v>
          </cell>
          <cell r="B7" t="str">
            <v>Отходы от механической очистки зерна (зерновые отходы)</v>
          </cell>
        </row>
        <row r="8">
          <cell r="A8" t="str">
            <v xml:space="preserve"> 1111040008000</v>
          </cell>
          <cell r="B8" t="str">
            <v>Лузга зерновая (рисовая, гречневая, овсяная, просяная)</v>
          </cell>
        </row>
        <row r="9">
          <cell r="A9" t="str">
            <v xml:space="preserve"> 1111040108995</v>
          </cell>
          <cell r="B9" t="str">
            <v>Лузга овсяная</v>
          </cell>
        </row>
        <row r="10">
          <cell r="A10" t="str">
            <v xml:space="preserve"> 1111040208995</v>
          </cell>
          <cell r="B10" t="str">
            <v>Лузга гречневая</v>
          </cell>
        </row>
        <row r="11">
          <cell r="A11" t="str">
            <v xml:space="preserve"> 1111040308995</v>
          </cell>
          <cell r="B11" t="str">
            <v>Лузга рисовая</v>
          </cell>
        </row>
        <row r="12">
          <cell r="A12" t="str">
            <v xml:space="preserve"> 1111040408995</v>
          </cell>
          <cell r="B12" t="str">
            <v>Лузга просяная</v>
          </cell>
        </row>
        <row r="13">
          <cell r="A13" t="str">
            <v xml:space="preserve"> 1111040508995</v>
          </cell>
          <cell r="B13" t="str">
            <v>Зерновая оболочка солода</v>
          </cell>
        </row>
        <row r="14">
          <cell r="A14" t="str">
            <v xml:space="preserve"> 1111050001995</v>
          </cell>
          <cell r="B14" t="str">
            <v>Отходы мякины</v>
          </cell>
        </row>
        <row r="15">
          <cell r="A15" t="str">
            <v xml:space="preserve"> 1111110011000</v>
          </cell>
          <cell r="B15" t="str">
            <v>Технологические потери муки, мучки (сметки)</v>
          </cell>
        </row>
        <row r="16">
          <cell r="A16" t="str">
            <v xml:space="preserve"> 1111110111995</v>
          </cell>
          <cell r="B16" t="str">
            <v>Отходы мучки овсяной</v>
          </cell>
        </row>
        <row r="17">
          <cell r="A17" t="str">
            <v xml:space="preserve"> 1111110211995</v>
          </cell>
          <cell r="B17" t="str">
            <v>Отходы мучки гречневой</v>
          </cell>
        </row>
        <row r="18">
          <cell r="A18" t="str">
            <v xml:space="preserve"> 1111110311995</v>
          </cell>
          <cell r="B18" t="str">
            <v>Отходы мучки рисовой</v>
          </cell>
        </row>
        <row r="19">
          <cell r="A19" t="str">
            <v xml:space="preserve"> 1111110411995</v>
          </cell>
          <cell r="B19" t="str">
            <v>Отходы мучки просяной</v>
          </cell>
        </row>
        <row r="20">
          <cell r="A20" t="str">
            <v xml:space="preserve"> 1111110511995</v>
          </cell>
          <cell r="B20" t="str">
            <v>Отходы мучки ячменной</v>
          </cell>
        </row>
        <row r="21">
          <cell r="A21" t="str">
            <v xml:space="preserve"> 1111110611995</v>
          </cell>
          <cell r="B21" t="str">
            <v>Технологические потери муки пшеничной</v>
          </cell>
        </row>
        <row r="22">
          <cell r="A22" t="str">
            <v xml:space="preserve"> 1111110711995</v>
          </cell>
          <cell r="B22" t="str">
            <v>Технологические потери муки ржаной</v>
          </cell>
        </row>
        <row r="23">
          <cell r="A23" t="str">
            <v xml:space="preserve"> 1111120008000</v>
          </cell>
          <cell r="B23" t="str">
            <v>Отходы дробленки и сечки зерновых культур</v>
          </cell>
        </row>
        <row r="24">
          <cell r="A24" t="str">
            <v xml:space="preserve"> 1111120108995</v>
          </cell>
          <cell r="B24" t="str">
            <v>Отходы дробленки и сечки овсяной</v>
          </cell>
        </row>
        <row r="25">
          <cell r="A25" t="str">
            <v xml:space="preserve"> 1111120208995</v>
          </cell>
          <cell r="B25" t="str">
            <v>Отходы дробленки и сечки гречневой</v>
          </cell>
        </row>
        <row r="26">
          <cell r="A26" t="str">
            <v xml:space="preserve"> 1111120308995</v>
          </cell>
          <cell r="B26" t="str">
            <v>Отходы дробленки и сечки рисовой</v>
          </cell>
        </row>
        <row r="27">
          <cell r="A27" t="str">
            <v xml:space="preserve"> 1111120408995</v>
          </cell>
          <cell r="B27" t="str">
            <v>Отходы дробленки и сечки просяной</v>
          </cell>
        </row>
        <row r="28">
          <cell r="A28" t="str">
            <v xml:space="preserve"> 1111120508995</v>
          </cell>
          <cell r="B28" t="str">
            <v>Отходы дробленки и сечки ячменной</v>
          </cell>
        </row>
        <row r="29">
          <cell r="A29" t="str">
            <v xml:space="preserve"> 1111130008995</v>
          </cell>
          <cell r="B29" t="str">
            <v>Отходы отрубей и высевок (пшеничных и ржаных)</v>
          </cell>
        </row>
        <row r="30">
          <cell r="A30" t="str">
            <v xml:space="preserve"> 1111210000995</v>
          </cell>
          <cell r="B30" t="str">
            <v>Мезга крупяная (производство пищевых концентратов)</v>
          </cell>
        </row>
        <row r="31">
          <cell r="A31" t="str">
            <v xml:space="preserve"> 1111310000995</v>
          </cell>
          <cell r="B31" t="str">
            <v>Отходы теста</v>
          </cell>
        </row>
        <row r="32">
          <cell r="A32" t="str">
            <v xml:space="preserve"> 1111320001995</v>
          </cell>
          <cell r="B32" t="str">
            <v>Хлебная крошка</v>
          </cell>
        </row>
        <row r="33">
          <cell r="A33" t="str">
            <v xml:space="preserve"> 1112000000000</v>
          </cell>
          <cell r="B33" t="str">
            <v>Отходы растениеводства, парникового хозяйства</v>
          </cell>
        </row>
        <row r="34">
          <cell r="A34" t="str">
            <v xml:space="preserve"> 1112010001995</v>
          </cell>
          <cell r="B34" t="str">
            <v>Ботва от корнеплодов, другие подобные растительные остатки при выращивании овощей</v>
          </cell>
        </row>
        <row r="35">
          <cell r="A35" t="str">
            <v xml:space="preserve"> 1112020001995</v>
          </cell>
          <cell r="B35" t="str">
            <v>Ботва от корнеплодов, другие подобные растительные остатки при выращивании овощей, загрязненные землей</v>
          </cell>
        </row>
        <row r="36">
          <cell r="A36" t="str">
            <v xml:space="preserve"> 1112030001995</v>
          </cell>
          <cell r="B36" t="str">
            <v>Отходы тростника при выращивании грибов</v>
          </cell>
        </row>
        <row r="37">
          <cell r="A37" t="str">
            <v xml:space="preserve"> 1113000000000</v>
          </cell>
          <cell r="B37" t="str">
            <v>Отходы от переработки овощей и фруктов</v>
          </cell>
        </row>
        <row r="38">
          <cell r="A38" t="str">
            <v xml:space="preserve"> 1113010001000</v>
          </cell>
          <cell r="B38" t="str">
            <v>Бой свеклы</v>
          </cell>
        </row>
        <row r="39">
          <cell r="A39" t="str">
            <v xml:space="preserve"> 1113010101995</v>
          </cell>
          <cell r="B39" t="str">
            <v>Свекловичные хвосты</v>
          </cell>
        </row>
        <row r="40">
          <cell r="A40" t="str">
            <v xml:space="preserve"> 1113020001995</v>
          </cell>
          <cell r="B40" t="str">
            <v>Жом свекловичный</v>
          </cell>
        </row>
        <row r="41">
          <cell r="A41" t="str">
            <v xml:space="preserve"> 1113030001995</v>
          </cell>
          <cell r="B41" t="str">
            <v>Очистки овощного сырья</v>
          </cell>
        </row>
        <row r="42">
          <cell r="A42" t="str">
            <v xml:space="preserve"> 1113030101995</v>
          </cell>
          <cell r="B42" t="str">
            <v>Очистки морковные</v>
          </cell>
        </row>
        <row r="43">
          <cell r="A43" t="str">
            <v xml:space="preserve"> 1113040000000</v>
          </cell>
          <cell r="B43" t="str">
            <v>Выжимки овощные</v>
          </cell>
        </row>
        <row r="44">
          <cell r="A44" t="str">
            <v xml:space="preserve"> 1113040103995</v>
          </cell>
          <cell r="B44" t="str">
            <v>Шкурки и семена томатные</v>
          </cell>
        </row>
        <row r="45">
          <cell r="A45" t="str">
            <v xml:space="preserve"> 1113150000995</v>
          </cell>
          <cell r="B45" t="str">
            <v>Мезга картофельная</v>
          </cell>
        </row>
        <row r="46">
          <cell r="A46" t="str">
            <v xml:space="preserve"> 1113170000995</v>
          </cell>
          <cell r="B46" t="str">
            <v>Отходы крахмальной патоки</v>
          </cell>
        </row>
        <row r="47">
          <cell r="A47" t="str">
            <v xml:space="preserve"> 1113210000000</v>
          </cell>
          <cell r="B47" t="str">
            <v>Выжимки фруктовые и ягодные</v>
          </cell>
        </row>
        <row r="48">
          <cell r="A48" t="str">
            <v xml:space="preserve"> 1113210101995</v>
          </cell>
          <cell r="B48" t="str">
            <v>Выжимки яблочные</v>
          </cell>
        </row>
        <row r="49">
          <cell r="A49" t="str">
            <v xml:space="preserve"> 1113250001995</v>
          </cell>
          <cell r="B49" t="str">
            <v>Косточки плодовые</v>
          </cell>
        </row>
        <row r="50">
          <cell r="A50" t="str">
            <v xml:space="preserve"> 1114000000000</v>
          </cell>
          <cell r="B50" t="str">
            <v>Отходы пивоваренного, спиртового и ликероводочного производства</v>
          </cell>
        </row>
        <row r="51">
          <cell r="A51" t="str">
            <v xml:space="preserve"> 1114010001995</v>
          </cell>
          <cell r="B51" t="str">
            <v>Солодовые ростки</v>
          </cell>
        </row>
        <row r="52">
          <cell r="A52" t="str">
            <v xml:space="preserve"> 1114020011994</v>
          </cell>
          <cell r="B52" t="str">
            <v>Пыль солодовая</v>
          </cell>
        </row>
        <row r="53">
          <cell r="A53" t="str">
            <v xml:space="preserve"> 1114030001995</v>
          </cell>
          <cell r="B53" t="str">
            <v>Дробина солодовая (пивная)</v>
          </cell>
        </row>
        <row r="54">
          <cell r="A54" t="str">
            <v xml:space="preserve"> 1114040001995</v>
          </cell>
          <cell r="B54" t="str">
            <v>Дробина хмелевая</v>
          </cell>
        </row>
        <row r="55">
          <cell r="A55" t="str">
            <v xml:space="preserve"> 1140000000000</v>
          </cell>
          <cell r="B55" t="str">
            <v>Отходы производства вкусовых продуктов</v>
          </cell>
        </row>
        <row r="56">
          <cell r="A56" t="str">
            <v xml:space="preserve"> 1140010001000</v>
          </cell>
          <cell r="B56" t="str">
            <v>Некондиционные зерна кофе, кофейная шелуха, кофейная пыль, дробленые частицы кофейного полуфабриката</v>
          </cell>
        </row>
        <row r="57">
          <cell r="A57" t="str">
            <v xml:space="preserve"> 1140010111004</v>
          </cell>
          <cell r="B57" t="str">
            <v>Пыль кофейная</v>
          </cell>
        </row>
        <row r="58">
          <cell r="A58" t="str">
            <v xml:space="preserve"> 1140010211995</v>
          </cell>
          <cell r="B58" t="str">
            <v>Зерна кофе некондиционные</v>
          </cell>
        </row>
        <row r="59">
          <cell r="A59" t="str">
            <v xml:space="preserve"> 1140010311995</v>
          </cell>
          <cell r="B59" t="str">
            <v>Шелуха кофейная</v>
          </cell>
        </row>
        <row r="60">
          <cell r="A60" t="str">
            <v xml:space="preserve"> 1140010411995</v>
          </cell>
          <cell r="B60" t="str">
            <v>Дробленые частицы кофейного полуфабриката</v>
          </cell>
        </row>
        <row r="61">
          <cell r="A61" t="str">
            <v xml:space="preserve"> 1140020001000</v>
          </cell>
          <cell r="B61" t="str">
            <v>Чай некондиционный и/или загрязненный, чайная пыль</v>
          </cell>
        </row>
        <row r="62">
          <cell r="A62" t="str">
            <v xml:space="preserve"> 1140020101995</v>
          </cell>
          <cell r="B62" t="str">
            <v>Чай некондиционный</v>
          </cell>
        </row>
        <row r="63">
          <cell r="A63" t="str">
            <v xml:space="preserve"> 1140020211004</v>
          </cell>
          <cell r="B63" t="str">
            <v>Пыль чайная</v>
          </cell>
        </row>
        <row r="64">
          <cell r="A64" t="str">
            <v xml:space="preserve"> 1140150001000</v>
          </cell>
          <cell r="B64" t="str">
            <v>Отходы пряностей</v>
          </cell>
        </row>
        <row r="65">
          <cell r="A65" t="str">
            <v xml:space="preserve"> 1140150101004</v>
          </cell>
          <cell r="B65" t="str">
            <v>Отходы пряностей в виде пыли или порошка</v>
          </cell>
        </row>
        <row r="66">
          <cell r="A66" t="str">
            <v xml:space="preserve"> 1140150201995</v>
          </cell>
          <cell r="B66" t="str">
            <v>Пряности некондиционные</v>
          </cell>
        </row>
        <row r="67">
          <cell r="A67" t="str">
            <v xml:space="preserve"> 1140300000000</v>
          </cell>
          <cell r="B67" t="str">
            <v>Отходы дрожжей</v>
          </cell>
        </row>
        <row r="68">
          <cell r="A68" t="str">
            <v xml:space="preserve"> 1140300102995</v>
          </cell>
          <cell r="B68" t="str">
            <v>Дрожжи хлебопекарные отработанные</v>
          </cell>
        </row>
        <row r="69">
          <cell r="A69" t="str">
            <v xml:space="preserve"> 1140300202995</v>
          </cell>
          <cell r="B69" t="str">
            <v>Дрожжи пивные отработанные</v>
          </cell>
        </row>
        <row r="70">
          <cell r="A70" t="str">
            <v xml:space="preserve"> 1140410001000</v>
          </cell>
          <cell r="B70" t="str">
            <v>Остатки табачной мелочи, жилки табачного листа, табачная пыль</v>
          </cell>
        </row>
        <row r="71">
          <cell r="A71" t="str">
            <v xml:space="preserve"> 1140410111015</v>
          </cell>
          <cell r="B71" t="str">
            <v>Остатки табачной мелочи, жилки табачного листа</v>
          </cell>
        </row>
        <row r="72">
          <cell r="A72" t="str">
            <v xml:space="preserve"> 1140410211013</v>
          </cell>
          <cell r="B72" t="str">
            <v>Пыль табачная</v>
          </cell>
        </row>
        <row r="73">
          <cell r="A73" t="str">
            <v xml:space="preserve"> 1170000000000</v>
          </cell>
          <cell r="B73" t="str">
            <v>Отходы производства кормов</v>
          </cell>
        </row>
        <row r="74">
          <cell r="A74" t="str">
            <v xml:space="preserve"> 1171000000000</v>
          </cell>
          <cell r="B74" t="str">
            <v>Отходы кормов</v>
          </cell>
        </row>
        <row r="75">
          <cell r="A75" t="str">
            <v xml:space="preserve"> 1171050011004</v>
          </cell>
          <cell r="B75" t="str">
            <v>Пыль комбикормовая</v>
          </cell>
        </row>
        <row r="76">
          <cell r="A76" t="str">
            <v xml:space="preserve"> 1200000000000</v>
          </cell>
          <cell r="B76" t="str">
            <v>Отходы растительных и животных жировых продуктов</v>
          </cell>
        </row>
        <row r="77">
          <cell r="A77" t="str">
            <v xml:space="preserve"> 1210000000000</v>
          </cell>
          <cell r="B77" t="str">
            <v>Отходы производства растительных и животных масел</v>
          </cell>
        </row>
        <row r="78">
          <cell r="A78" t="str">
            <v xml:space="preserve"> 1210010008995</v>
          </cell>
          <cell r="B78" t="str">
            <v>Отходы масличных семян</v>
          </cell>
        </row>
        <row r="79">
          <cell r="A79" t="str">
            <v xml:space="preserve"> 1210020008995</v>
          </cell>
          <cell r="B79" t="str">
            <v>Лузга подсолнечная</v>
          </cell>
        </row>
        <row r="80">
          <cell r="A80" t="str">
            <v xml:space="preserve"> 1210030001000</v>
          </cell>
          <cell r="B80" t="str">
            <v>Отходы жмыха и шрота</v>
          </cell>
        </row>
        <row r="81">
          <cell r="A81" t="str">
            <v xml:space="preserve"> 1210030101995</v>
          </cell>
          <cell r="B81" t="str">
            <v>Жмых подсолнечный</v>
          </cell>
        </row>
        <row r="82">
          <cell r="A82" t="str">
            <v xml:space="preserve"> 1230000000000</v>
          </cell>
          <cell r="B82" t="str">
            <v>Отходы производства растительных и животных жиров и восков</v>
          </cell>
        </row>
        <row r="83">
          <cell r="A83" t="str">
            <v xml:space="preserve"> 1230010000995</v>
          </cell>
          <cell r="B83" t="str">
            <v>Отходы растительных восков</v>
          </cell>
        </row>
        <row r="84">
          <cell r="A84" t="str">
            <v xml:space="preserve"> 1230020000995</v>
          </cell>
          <cell r="B84" t="str">
            <v>Отходы животных восков</v>
          </cell>
        </row>
        <row r="85">
          <cell r="A85" t="str">
            <v xml:space="preserve"> 1230030000004</v>
          </cell>
          <cell r="B85" t="str">
            <v>Отходы растительных жиров</v>
          </cell>
        </row>
        <row r="86">
          <cell r="A86" t="str">
            <v xml:space="preserve"> 1230040000004</v>
          </cell>
          <cell r="B86" t="str">
            <v>Отходы животных жиров</v>
          </cell>
        </row>
        <row r="87">
          <cell r="A87" t="str">
            <v xml:space="preserve"> 1230050001004</v>
          </cell>
          <cell r="B87" t="str">
            <v>Отходы шквары</v>
          </cell>
        </row>
        <row r="88">
          <cell r="A88" t="str">
            <v xml:space="preserve"> 1250000000000</v>
          </cell>
          <cell r="B88" t="str">
            <v>Эмульсии и смеси, содержащие  растительные и животные жировые продукты</v>
          </cell>
        </row>
        <row r="89">
          <cell r="A89" t="str">
            <v xml:space="preserve"> 1250010000004</v>
          </cell>
          <cell r="B89" t="str">
            <v>Отходы из жироотделителей, содержащие растительные жировые продукты</v>
          </cell>
        </row>
        <row r="90">
          <cell r="A90" t="str">
            <v xml:space="preserve"> 1250020000004</v>
          </cell>
          <cell r="B90" t="str">
            <v>Отходы из жироотделителей, содержащие животные жировые продукты</v>
          </cell>
        </row>
        <row r="91">
          <cell r="A91" t="str">
            <v xml:space="preserve"> 1250030006000</v>
          </cell>
          <cell r="B91" t="str">
            <v>Отходы эмульсий масляных, жировых и смазочных из растительного сырья</v>
          </cell>
        </row>
        <row r="92">
          <cell r="A92" t="str">
            <v xml:space="preserve"> 1250030106004</v>
          </cell>
          <cell r="B92" t="str">
            <v>Масляные эмульсии от мойки оборудования производства растительных масел</v>
          </cell>
        </row>
        <row r="93">
          <cell r="A93" t="str">
            <v xml:space="preserve"> 1250040006000</v>
          </cell>
          <cell r="B93" t="str">
            <v>Отходы эмульсий масляных, жировых и смазочных из животного сырья</v>
          </cell>
        </row>
        <row r="94">
          <cell r="A94" t="str">
            <v xml:space="preserve"> 1250040106004</v>
          </cell>
          <cell r="B94" t="str">
            <v>Масляные эмульсии от мойки оборудования производства животных жиров</v>
          </cell>
        </row>
        <row r="95">
          <cell r="A95" t="str">
            <v xml:space="preserve"> 1260000000000</v>
          </cell>
          <cell r="B95" t="str">
            <v>Отходы продуктов из растительных и животных жиров, включая просроченные продукты</v>
          </cell>
        </row>
        <row r="96">
          <cell r="A96" t="str">
            <v xml:space="preserve"> 1260010002004</v>
          </cell>
          <cell r="B96" t="str">
            <v>Отходы смазочных и гидравлических масел из растительного сырья</v>
          </cell>
        </row>
        <row r="97">
          <cell r="A97" t="str">
            <v xml:space="preserve"> 1260020002004</v>
          </cell>
          <cell r="B97" t="str">
            <v>Масла растительные отработанные</v>
          </cell>
        </row>
        <row r="98">
          <cell r="A98" t="str">
            <v xml:space="preserve"> 1260050000004</v>
          </cell>
          <cell r="B98" t="str">
            <v>Отходы от зачистки растительных и животных жиров</v>
          </cell>
        </row>
        <row r="99">
          <cell r="A99" t="str">
            <v xml:space="preserve"> 1270000000000</v>
          </cell>
          <cell r="B99" t="str">
            <v>Шламы производства растительных и животных жиров</v>
          </cell>
        </row>
        <row r="100">
          <cell r="A100" t="str">
            <v xml:space="preserve"> 1280000000000</v>
          </cell>
          <cell r="B100" t="str">
            <v>Отходы производства молочных продуктов</v>
          </cell>
        </row>
        <row r="101">
          <cell r="A101" t="str">
            <v xml:space="preserve"> 1290000000000</v>
          </cell>
          <cell r="B101" t="str">
            <v>Остатки рафинирования при производстве и переработке растительных и животных жиров</v>
          </cell>
        </row>
        <row r="102">
          <cell r="A102" t="str">
            <v xml:space="preserve"> 1290010000004</v>
          </cell>
          <cell r="B102" t="str">
            <v>Отходы отбеливающей глины, содержащей масла</v>
          </cell>
        </row>
        <row r="103">
          <cell r="A103" t="str">
            <v xml:space="preserve"> 1300000000000</v>
          </cell>
          <cell r="B103" t="str">
            <v>Отходы содержания, убоя и переработки животных и птиц (включя отходы рыбы и иных морепродуктов)</v>
          </cell>
        </row>
        <row r="104">
          <cell r="A104" t="str">
            <v xml:space="preserve"> 1310000000000</v>
          </cell>
          <cell r="B104" t="str">
            <v>Отходы содержания животных и птиц</v>
          </cell>
        </row>
        <row r="105">
          <cell r="A105" t="str">
            <v xml:space="preserve"> 1310010000000</v>
          </cell>
          <cell r="B105" t="str">
            <v>Помет птичий</v>
          </cell>
        </row>
        <row r="106">
          <cell r="A106" t="str">
            <v xml:space="preserve"> 1310010101004</v>
          </cell>
          <cell r="B106" t="str">
            <v>Помет куриный перепревший</v>
          </cell>
        </row>
        <row r="107">
          <cell r="A107" t="str">
            <v xml:space="preserve"> 1310010103013</v>
          </cell>
          <cell r="B107" t="str">
            <v>Помет куриный свежий</v>
          </cell>
        </row>
        <row r="108">
          <cell r="A108" t="str">
            <v xml:space="preserve"> 1310010201004</v>
          </cell>
          <cell r="B108" t="str">
            <v>Помет утиный, гусиный перепревший</v>
          </cell>
        </row>
        <row r="109">
          <cell r="A109" t="str">
            <v xml:space="preserve"> 1310010203013</v>
          </cell>
          <cell r="B109" t="str">
            <v>Помет утиный, гусиный свежий</v>
          </cell>
        </row>
        <row r="110">
          <cell r="A110" t="str">
            <v xml:space="preserve"> 1310040000000</v>
          </cell>
          <cell r="B110" t="str">
            <v>Навоз</v>
          </cell>
        </row>
        <row r="111">
          <cell r="A111" t="str">
            <v xml:space="preserve"> 1310040101005</v>
          </cell>
          <cell r="B111" t="str">
            <v>Навоз от крупного рогатого скота перепревший</v>
          </cell>
        </row>
        <row r="112">
          <cell r="A112" t="str">
            <v xml:space="preserve"> 1310040103004</v>
          </cell>
          <cell r="B112" t="str">
            <v>Навоз от крупного рогатого скота свежий</v>
          </cell>
        </row>
        <row r="113">
          <cell r="A113" t="str">
            <v xml:space="preserve"> 1310040201004</v>
          </cell>
          <cell r="B113" t="str">
            <v>Навоз от свиней перепревший</v>
          </cell>
        </row>
        <row r="114">
          <cell r="A114" t="str">
            <v xml:space="preserve"> 1310040203013</v>
          </cell>
          <cell r="B114" t="str">
            <v>Навоз от свиней свежий</v>
          </cell>
        </row>
        <row r="115">
          <cell r="A115" t="str">
            <v xml:space="preserve"> 1310040301004</v>
          </cell>
          <cell r="B115" t="str">
            <v>Навоз от мелкого рогатого скота свежий</v>
          </cell>
        </row>
        <row r="116">
          <cell r="A116" t="str">
            <v xml:space="preserve"> 1310040301005</v>
          </cell>
          <cell r="B116" t="str">
            <v>Навоз от мелкого рогатого скота перепревший</v>
          </cell>
        </row>
        <row r="117">
          <cell r="A117" t="str">
            <v xml:space="preserve"> 1310040501005</v>
          </cell>
          <cell r="B117" t="str">
            <v>Навоз конский перепревший</v>
          </cell>
        </row>
        <row r="118">
          <cell r="A118" t="str">
            <v xml:space="preserve"> 1310040503004</v>
          </cell>
          <cell r="B118" t="str">
            <v>Навоз конский свежий</v>
          </cell>
        </row>
        <row r="119">
          <cell r="A119" t="str">
            <v xml:space="preserve"> 1310040601005</v>
          </cell>
          <cell r="B119" t="str">
            <v>Навоз от звероводческих хозяйств перепревший</v>
          </cell>
        </row>
        <row r="120">
          <cell r="A120" t="str">
            <v xml:space="preserve"> 1310040603004</v>
          </cell>
          <cell r="B120" t="str">
            <v>Навоз от звероводческих хозяйств свежий</v>
          </cell>
        </row>
        <row r="121">
          <cell r="A121" t="str">
            <v xml:space="preserve"> 1320000000000</v>
          </cell>
          <cell r="B121" t="str">
            <v>Отходы убоя животных и птиц</v>
          </cell>
        </row>
        <row r="122">
          <cell r="A122" t="str">
            <v xml:space="preserve"> 1320010001005</v>
          </cell>
          <cell r="B122" t="str">
            <v>Отходы щетины</v>
          </cell>
        </row>
        <row r="123">
          <cell r="A123" t="str">
            <v xml:space="preserve"> 1320020001000</v>
          </cell>
          <cell r="B123" t="str">
            <v>Отходы костей животных и птицы</v>
          </cell>
        </row>
        <row r="124">
          <cell r="A124" t="str">
            <v xml:space="preserve"> 1320020101005</v>
          </cell>
          <cell r="B124" t="str">
            <v>Отходы костей животных</v>
          </cell>
        </row>
        <row r="125">
          <cell r="A125" t="str">
            <v xml:space="preserve"> 1320020201005</v>
          </cell>
          <cell r="B125" t="str">
            <v>Отходы  костей  птицы</v>
          </cell>
        </row>
        <row r="126">
          <cell r="A126" t="str">
            <v xml:space="preserve"> 1320030099000</v>
          </cell>
          <cell r="B126" t="str">
            <v>Отходы внутренностей животных и птицы</v>
          </cell>
        </row>
        <row r="127">
          <cell r="A127" t="str">
            <v xml:space="preserve"> 1320030199005</v>
          </cell>
          <cell r="B127" t="str">
            <v>Отходы внутренностей крупного рогатого скота</v>
          </cell>
        </row>
        <row r="128">
          <cell r="A128" t="str">
            <v xml:space="preserve"> 1320030299005</v>
          </cell>
          <cell r="B128" t="str">
            <v>Отходы внутренностей мелкого рогатого скота</v>
          </cell>
        </row>
        <row r="129">
          <cell r="A129" t="str">
            <v xml:space="preserve"> 1320030399005</v>
          </cell>
          <cell r="B129" t="str">
            <v>Отходы внутренностей птицы</v>
          </cell>
        </row>
        <row r="130">
          <cell r="A130" t="str">
            <v xml:space="preserve"> 1320040001005</v>
          </cell>
          <cell r="B130" t="str">
            <v>Отходы мяса, кожи, прочие части тушки несортированные от убоя домашней птицы</v>
          </cell>
        </row>
        <row r="131">
          <cell r="A131" t="str">
            <v xml:space="preserve"> 1320050001005</v>
          </cell>
          <cell r="B131" t="str">
            <v>Отходы мяса животных и птицы</v>
          </cell>
        </row>
        <row r="132">
          <cell r="A132" t="str">
            <v xml:space="preserve"> 1320060002005</v>
          </cell>
          <cell r="B132" t="str">
            <v>Отходы крови животных и птицы</v>
          </cell>
        </row>
        <row r="133">
          <cell r="A133" t="str">
            <v xml:space="preserve"> 1320070001004</v>
          </cell>
          <cell r="B133" t="str">
            <v>Отходы перьев и пуха</v>
          </cell>
        </row>
        <row r="134">
          <cell r="A134" t="str">
            <v xml:space="preserve"> 1320080099005</v>
          </cell>
          <cell r="B134" t="str">
            <v>Содержимое желудка и кишок (каныга)</v>
          </cell>
        </row>
        <row r="135">
          <cell r="A135" t="str">
            <v xml:space="preserve"> 1320090000005</v>
          </cell>
          <cell r="B135" t="str">
            <v>Отходы от убоя диких животных</v>
          </cell>
        </row>
        <row r="136">
          <cell r="A136" t="str">
            <v xml:space="preserve"> 1320100001005</v>
          </cell>
          <cell r="B136" t="str">
            <v>Отходы мяса, кожи, прочие части туши несортированные от убоя домашних животных</v>
          </cell>
        </row>
        <row r="137">
          <cell r="A137" t="str">
            <v xml:space="preserve"> 1320110001005</v>
          </cell>
          <cell r="B137" t="str">
            <v>Отходы конского волоса</v>
          </cell>
        </row>
        <row r="138">
          <cell r="A138" t="str">
            <v xml:space="preserve"> 1320120001005</v>
          </cell>
          <cell r="B138" t="str">
            <v>Отходы рогов и копыт</v>
          </cell>
        </row>
        <row r="139">
          <cell r="A139" t="str">
            <v xml:space="preserve"> 1320130001000</v>
          </cell>
          <cell r="B139" t="str">
            <v>Отходы скорлупы яичной</v>
          </cell>
        </row>
        <row r="140">
          <cell r="A140" t="str">
            <v xml:space="preserve"> 1320130101005</v>
          </cell>
          <cell r="B140" t="str">
            <v>Скорлупа от куриных яиц</v>
          </cell>
        </row>
        <row r="141">
          <cell r="A141" t="str">
            <v xml:space="preserve"> 1330000000000</v>
          </cell>
          <cell r="B141" t="str">
            <v>Отходы от переработки мяса животных</v>
          </cell>
        </row>
        <row r="142">
          <cell r="A142" t="str">
            <v xml:space="preserve"> 1330030000005</v>
          </cell>
          <cell r="B142" t="str">
            <v>Отходы кишок от переработки мяса животных</v>
          </cell>
        </row>
        <row r="143">
          <cell r="A143" t="str">
            <v xml:space="preserve"> 1330080000005</v>
          </cell>
          <cell r="B143" t="str">
            <v>Отходы от производства консервов из мяса животных</v>
          </cell>
        </row>
        <row r="144">
          <cell r="A144" t="str">
            <v xml:space="preserve"> 1330110000005</v>
          </cell>
          <cell r="B144" t="str">
            <v>Отходы желатина</v>
          </cell>
        </row>
        <row r="145">
          <cell r="A145" t="str">
            <v xml:space="preserve"> 1340000000000</v>
          </cell>
          <cell r="B145" t="str">
            <v>Отходы от переработки мяса птиц</v>
          </cell>
        </row>
        <row r="146">
          <cell r="A146" t="str">
            <v xml:space="preserve"> 1340080000005</v>
          </cell>
          <cell r="B146" t="str">
            <v>Отходы от производства консервов из мяса птиц</v>
          </cell>
        </row>
        <row r="147">
          <cell r="A147" t="str">
            <v xml:space="preserve"> 1350000000000</v>
          </cell>
          <cell r="B147" t="str">
            <v>Отходы от переработки рыбы и других морепродуктов</v>
          </cell>
        </row>
        <row r="148">
          <cell r="A148" t="str">
            <v xml:space="preserve"> 1350010001005</v>
          </cell>
          <cell r="B148" t="str">
            <v>Рыба мороженая некондиционная</v>
          </cell>
        </row>
        <row r="149">
          <cell r="A149" t="str">
            <v xml:space="preserve"> 1350020001005</v>
          </cell>
          <cell r="B149" t="str">
            <v>Чешуя рыбная</v>
          </cell>
        </row>
        <row r="150">
          <cell r="A150" t="str">
            <v xml:space="preserve"> 1350030000005</v>
          </cell>
          <cell r="B150" t="str">
            <v>Отходы от переработки рыбы</v>
          </cell>
        </row>
        <row r="151">
          <cell r="A151" t="str">
            <v xml:space="preserve"> 1350200001005</v>
          </cell>
          <cell r="B151" t="str">
            <v>Отходы раковин и панцирей моллюсков, ракообразных, иглокожих</v>
          </cell>
        </row>
        <row r="152">
          <cell r="A152" t="str">
            <v xml:space="preserve"> 1380000000000</v>
          </cell>
          <cell r="B152" t="str">
            <v>Тела животных и птиц, обращение с которыми требует мер предосторожности во избежание инфицирования</v>
          </cell>
        </row>
        <row r="153">
          <cell r="A153" t="str">
            <v xml:space="preserve"> 1400000000000</v>
          </cell>
          <cell r="B153" t="str">
            <v>Отходы шкур, мехов и кожи</v>
          </cell>
        </row>
        <row r="154">
          <cell r="A154" t="str">
            <v xml:space="preserve"> 1410000000000</v>
          </cell>
          <cell r="B154" t="str">
            <v>Отходы шкур</v>
          </cell>
        </row>
        <row r="155">
          <cell r="A155" t="str">
            <v xml:space="preserve"> 1410010000004</v>
          </cell>
          <cell r="B155" t="str">
            <v>Мездра</v>
          </cell>
        </row>
        <row r="156">
          <cell r="A156" t="str">
            <v xml:space="preserve"> 1410020001004</v>
          </cell>
          <cell r="B156" t="str">
            <v>Спилок сырой при обработке шкур</v>
          </cell>
        </row>
        <row r="157">
          <cell r="A157" t="str">
            <v xml:space="preserve"> 1410030001004</v>
          </cell>
          <cell r="B157" t="str">
            <v>Спилок желатиновый при обработке шкур</v>
          </cell>
        </row>
        <row r="158">
          <cell r="A158" t="str">
            <v xml:space="preserve"> 1410040001005</v>
          </cell>
          <cell r="B158" t="str">
            <v>Шкуры необработанные некондиционные, а также их остатки и обрезки</v>
          </cell>
        </row>
        <row r="159">
          <cell r="A159" t="str">
            <v xml:space="preserve"> 1420000000000</v>
          </cell>
          <cell r="B159" t="str">
            <v>Отходы мехов</v>
          </cell>
        </row>
        <row r="160">
          <cell r="A160" t="str">
            <v xml:space="preserve"> 1430000000000</v>
          </cell>
          <cell r="B160" t="str">
            <v>Отходы щетино-щеточного производства</v>
          </cell>
        </row>
        <row r="161">
          <cell r="A161" t="str">
            <v xml:space="preserve"> 1440000000000</v>
          </cell>
          <cell r="B161" t="str">
            <v>Отходы дубилен (кроме дубящих веществ)</v>
          </cell>
        </row>
        <row r="162">
          <cell r="A162" t="str">
            <v xml:space="preserve"> 1470000000000</v>
          </cell>
          <cell r="B162" t="str">
            <v>Отходы кожи</v>
          </cell>
        </row>
        <row r="163">
          <cell r="A163" t="str">
            <v xml:space="preserve"> 1470020001000</v>
          </cell>
          <cell r="B163" t="str">
            <v>Отходы хромовой кожи</v>
          </cell>
        </row>
        <row r="164">
          <cell r="A164" t="str">
            <v xml:space="preserve"> 1470020101004</v>
          </cell>
          <cell r="B164" t="str">
            <v>Обрезки спилка хромовой кожи</v>
          </cell>
        </row>
        <row r="165">
          <cell r="A165" t="str">
            <v xml:space="preserve"> 1470020201004</v>
          </cell>
          <cell r="B165" t="str">
            <v>Стружка хромовой кожи</v>
          </cell>
        </row>
        <row r="166">
          <cell r="A166" t="str">
            <v xml:space="preserve"> 1470020301004</v>
          </cell>
          <cell r="B166" t="str">
            <v>Обрезки готовой хромовой кожи</v>
          </cell>
        </row>
        <row r="167">
          <cell r="A167" t="str">
            <v xml:space="preserve"> 1470030001000</v>
          </cell>
          <cell r="B167" t="str">
            <v>Отходы кож нехромового дубления</v>
          </cell>
        </row>
        <row r="168">
          <cell r="A168" t="str">
            <v xml:space="preserve"> 1470030301995</v>
          </cell>
          <cell r="B168" t="str">
            <v>Обрезки готовой кожи нехромового дубления</v>
          </cell>
        </row>
        <row r="169">
          <cell r="A169" t="str">
            <v xml:space="preserve"> 1470040000004</v>
          </cell>
          <cell r="B169" t="str">
            <v>Шлам от шлифовки кож и кожная пыль (мука)</v>
          </cell>
        </row>
        <row r="170">
          <cell r="A170" t="str">
            <v xml:space="preserve"> 1470050001995</v>
          </cell>
          <cell r="B170" t="str">
            <v>Обрезь жесткого кожевенного товара в производстве обуви</v>
          </cell>
        </row>
        <row r="171">
          <cell r="A171" t="str">
            <v xml:space="preserve"> 1470060001000</v>
          </cell>
          <cell r="B171" t="str">
            <v>Отходы использованных кожаных изделий</v>
          </cell>
        </row>
        <row r="172">
          <cell r="A172" t="str">
            <v xml:space="preserve"> 1470060113004</v>
          </cell>
          <cell r="B172" t="str">
            <v>Обувь кожаная рабочая, потерявшая потребительские свойства</v>
          </cell>
        </row>
        <row r="173">
          <cell r="A173" t="str">
            <v xml:space="preserve"> 1700000000000</v>
          </cell>
          <cell r="B173" t="str">
            <v>Древесные отходы</v>
          </cell>
        </row>
        <row r="174">
          <cell r="A174" t="str">
            <v xml:space="preserve"> 1710000000000</v>
          </cell>
          <cell r="B174" t="str">
            <v>Отходы обработки и переработки древесины</v>
          </cell>
        </row>
        <row r="175">
          <cell r="A175" t="str">
            <v xml:space="preserve"> 1711000000000</v>
          </cell>
          <cell r="B175" t="str">
            <v>Отходы обработки натуральной чистой древесины, незагрязненные опасными веществами</v>
          </cell>
        </row>
        <row r="176">
          <cell r="A176" t="str">
            <v xml:space="preserve"> 1711010001000</v>
          </cell>
          <cell r="B176" t="str">
            <v>Отходы коры</v>
          </cell>
        </row>
        <row r="177">
          <cell r="A177" t="str">
            <v xml:space="preserve"> 1711010101004</v>
          </cell>
          <cell r="B177" t="str">
            <v>Отходы коры</v>
          </cell>
        </row>
        <row r="178">
          <cell r="A178" t="str">
            <v xml:space="preserve"> 1711010201004</v>
          </cell>
          <cell r="B178" t="str">
            <v>Кора с примесью земли</v>
          </cell>
        </row>
        <row r="179">
          <cell r="A179" t="str">
            <v xml:space="preserve"> 1711020001005</v>
          </cell>
          <cell r="B179" t="str">
            <v>Отходы горбыля, рейки из натуральной чистой древесины</v>
          </cell>
        </row>
        <row r="180">
          <cell r="A180" t="str">
            <v xml:space="preserve"> 1711030001005</v>
          </cell>
          <cell r="B180" t="str">
            <v>Отходы шпона натуральной чистой древесины</v>
          </cell>
        </row>
        <row r="181">
          <cell r="A181" t="str">
            <v xml:space="preserve"> 1711040001005</v>
          </cell>
          <cell r="B181" t="str">
            <v>Отходы щепы натуральной чистой древесины</v>
          </cell>
        </row>
        <row r="182">
          <cell r="A182" t="str">
            <v xml:space="preserve"> 1711050001000</v>
          </cell>
          <cell r="B182" t="str">
            <v>Деревянная упаковка (невозвратная тара) и деревянные отходы из натуральной чистой древесины</v>
          </cell>
        </row>
        <row r="183">
          <cell r="A183" t="str">
            <v xml:space="preserve"> 1711050101005</v>
          </cell>
          <cell r="B183" t="str">
            <v>Обрезь натуральной чистой древесины</v>
          </cell>
        </row>
        <row r="184">
          <cell r="A184" t="str">
            <v xml:space="preserve"> 1711050213005</v>
          </cell>
          <cell r="B184" t="str">
            <v>Деревянная упаковка (невозвратная тара) из натуральной древесины</v>
          </cell>
        </row>
        <row r="185">
          <cell r="A185" t="str">
            <v xml:space="preserve"> 1711050313005</v>
          </cell>
          <cell r="B185" t="str">
            <v>Изделия из натуральной древесины, потерявшие свои потребительские свойства</v>
          </cell>
        </row>
        <row r="186">
          <cell r="A186" t="str">
            <v xml:space="preserve"> 1711060001000</v>
          </cell>
          <cell r="B186" t="str">
            <v>Опилки и стружки натуральной чистой древесины</v>
          </cell>
        </row>
        <row r="187">
          <cell r="A187" t="str">
            <v xml:space="preserve"> 1711060101005</v>
          </cell>
          <cell r="B187" t="str">
            <v>Опилки натуральной чистой древесины</v>
          </cell>
        </row>
        <row r="188">
          <cell r="A188" t="str">
            <v xml:space="preserve"> 1711060201005</v>
          </cell>
          <cell r="B188" t="str">
            <v>Стружка натуральной чистой древесины</v>
          </cell>
        </row>
        <row r="189">
          <cell r="A189" t="str">
            <v xml:space="preserve"> 1711070011004</v>
          </cell>
          <cell r="B189" t="str">
            <v>Пыль древесная от шлифовки натуральной чистой древесины</v>
          </cell>
        </row>
        <row r="190">
          <cell r="A190" t="str">
            <v xml:space="preserve"> 1711080004005</v>
          </cell>
          <cell r="B190" t="str">
            <v>Шлам древесный от шлифовки натуральной чистой древесины</v>
          </cell>
        </row>
        <row r="191">
          <cell r="A191" t="str">
            <v xml:space="preserve"> 1711090001005</v>
          </cell>
          <cell r="B191" t="str">
            <v>Древесная шерсть</v>
          </cell>
        </row>
        <row r="192">
          <cell r="A192" t="str">
            <v xml:space="preserve"> 1711200001005</v>
          </cell>
          <cell r="B192" t="str">
            <v>Древесные отходы из натуральной чистой древесины несортированные</v>
          </cell>
        </row>
        <row r="193">
          <cell r="A193" t="str">
            <v xml:space="preserve"> 1712000000000</v>
          </cell>
          <cell r="B193" t="str">
            <v>Древесные отходы с пропиткой и покрытиями, незагрязненные опасными веществами</v>
          </cell>
        </row>
        <row r="194">
          <cell r="A194" t="str">
            <v xml:space="preserve"> 1712010001000</v>
          </cell>
          <cell r="B194" t="str">
            <v>Отоды обработки фанеры, изделия из фанеры, потерявшие свои потребительские свойства, содержащие связующие смолы в количестве от 0,2% до 2,5% включительно</v>
          </cell>
        </row>
        <row r="195">
          <cell r="A195" t="str">
            <v xml:space="preserve"> 1712010101014</v>
          </cell>
          <cell r="B195" t="str">
            <v>Обрезь фанеры, содержащей связующие смолы в количестве от 0,2 % до 2,5 % включительно</v>
          </cell>
        </row>
        <row r="196">
          <cell r="A196" t="str">
            <v xml:space="preserve"> 1712010201014</v>
          </cell>
          <cell r="B196" t="str">
            <v>Брак фанерных заготовок, содержащих связующие смолы в количестве от 0,2 % до 2,5 % включительно</v>
          </cell>
        </row>
        <row r="197">
          <cell r="A197" t="str">
            <v xml:space="preserve"> 1712020001000</v>
          </cell>
          <cell r="B197" t="str">
            <v>Отходы обработки древесно-стружечных и/или древесно-волокнистых плит, содержащие связующие смолы в количестве от 0,2% до 2,5% включительно</v>
          </cell>
        </row>
        <row r="198">
          <cell r="A198" t="str">
            <v xml:space="preserve"> 1712020101014</v>
          </cell>
          <cell r="B198" t="str">
            <v>Опилки древесно-стружечных и/или древесно-волокнистых плит, содержащие связующие смолы в количестве от 0,2% до 2,5% включительно</v>
          </cell>
        </row>
        <row r="199">
          <cell r="A199" t="str">
            <v xml:space="preserve"> 1712020201014</v>
          </cell>
          <cell r="B199" t="str">
            <v>Стружка древесно-стружечных и/или древесно-волокнистых плит, содержащая связующие смолы в количестве от 0,2% до 2,5% включительно</v>
          </cell>
        </row>
        <row r="200">
          <cell r="A200" t="str">
            <v xml:space="preserve"> 1712020301014</v>
          </cell>
          <cell r="B200" t="str">
            <v>Обрезки, кусковые отходы древесно-стружечных и/или древесно-волокнистых плит, содержащих связующие смолы в количестве от 0,2% до 2,5% включительно</v>
          </cell>
        </row>
        <row r="201">
          <cell r="A201" t="str">
            <v xml:space="preserve"> 1712020401014</v>
          </cell>
          <cell r="B201" t="str">
            <v>Древесно-стружечные и/или древесно-волокнистые плиты, содержащие связующие смолы в количестве от 0,2% до 2,5% включительно, некондиционные,брак</v>
          </cell>
        </row>
        <row r="202">
          <cell r="A202" t="str">
            <v xml:space="preserve"> 1712020511014</v>
          </cell>
          <cell r="B202" t="str">
            <v>Пыль при изготовлении и обработке древесно-стружечных и/или древесно-волокнистых плит, содержащих связующие смолы в количестве от 0,2% до 2,5% включительно</v>
          </cell>
        </row>
        <row r="203">
          <cell r="A203" t="str">
            <v xml:space="preserve"> 1712020604014</v>
          </cell>
          <cell r="B203" t="str">
            <v>Шлам при изготовлении и обработке древесно-стружечных и/или древесно-волокнистых плит, содержащих связующие смолы в количестве от 0,2% до 2,5% включительно</v>
          </cell>
        </row>
        <row r="204">
          <cell r="A204" t="str">
            <v xml:space="preserve"> 1712050001004</v>
          </cell>
          <cell r="B204" t="str">
            <v>Отходы древесных строительных лесоматериалов, в том числе от сноса и разборки строений</v>
          </cell>
        </row>
        <row r="205">
          <cell r="A205" t="str">
            <v xml:space="preserve"> 1712060013013</v>
          </cell>
          <cell r="B205" t="str">
            <v>Шпалы железнодорожные деревянные, пропитанные антисептическими средствами, отработанные и брак</v>
          </cell>
        </row>
        <row r="206">
          <cell r="A206" t="str">
            <v xml:space="preserve"> 1712070001000</v>
          </cell>
          <cell r="B206" t="str">
            <v>Отходы древесины с солевой пропиткой</v>
          </cell>
        </row>
        <row r="207">
          <cell r="A207" t="str">
            <v xml:space="preserve"> 1712070101014</v>
          </cell>
          <cell r="B207" t="str">
            <v>Отходы   древесины, пропитанной 5-процентным раствором (NH4)2HPO4 (производство спичек)</v>
          </cell>
        </row>
        <row r="208">
          <cell r="A208" t="str">
            <v xml:space="preserve"> 1712080001014</v>
          </cell>
          <cell r="B208" t="str">
            <v>Отходы древесины с масляной пропиткой</v>
          </cell>
        </row>
        <row r="209">
          <cell r="A209" t="str">
            <v xml:space="preserve"> 1712200001014</v>
          </cell>
          <cell r="B209" t="str">
            <v>Древесные отходы с пропиткой и покрытиями несортированные</v>
          </cell>
        </row>
        <row r="210">
          <cell r="A210" t="str">
            <v xml:space="preserve"> 1713000000000</v>
          </cell>
          <cell r="B210" t="str">
            <v>Опилки и стружки древесные, загрязненные преимущественно органическими веществами (минеральные масла, лаки, растворители)</v>
          </cell>
        </row>
        <row r="211">
          <cell r="A211" t="str">
            <v xml:space="preserve"> 1713020001030</v>
          </cell>
          <cell r="B211" t="str">
            <v>Опилки и стружки древесные, загрязненные минеральными маслами</v>
          </cell>
        </row>
        <row r="212">
          <cell r="A212" t="str">
            <v xml:space="preserve"> 1713020101034</v>
          </cell>
          <cell r="B212" t="str">
            <v>Опилки древесные, загрязненные минеральными маслами (содержание масел – менее 15 %)</v>
          </cell>
        </row>
        <row r="213">
          <cell r="A213" t="str">
            <v xml:space="preserve"> 1713020104033</v>
          </cell>
          <cell r="B213" t="str">
            <v>Опилки древесные, загрязненные минеральными маслами (содержание масел – 15 % и более)</v>
          </cell>
        </row>
        <row r="214">
          <cell r="A214" t="str">
            <v xml:space="preserve"> 1713020201034</v>
          </cell>
          <cell r="B214" t="str">
            <v>Стружка древесная, загрязненная минеральными маслами (содержание масел – менее 15 %)</v>
          </cell>
        </row>
        <row r="215">
          <cell r="A215" t="str">
            <v xml:space="preserve"> 1713020204033</v>
          </cell>
          <cell r="B215" t="str">
            <v>Стружка древесная, загрязненная минеральными маслами (содержание масел – 15 % и более)</v>
          </cell>
        </row>
        <row r="216">
          <cell r="A216" t="str">
            <v xml:space="preserve"> 1713030001030</v>
          </cell>
          <cell r="B216" t="str">
            <v>Опилки и стружки древесные, загрязненные бензином</v>
          </cell>
        </row>
        <row r="217">
          <cell r="A217" t="str">
            <v xml:space="preserve"> 1713030101034</v>
          </cell>
          <cell r="B217" t="str">
            <v>Опилки древесные, загрязненные бензином (содержание бензина – менее 15 %)</v>
          </cell>
        </row>
        <row r="218">
          <cell r="A218" t="str">
            <v xml:space="preserve"> 1713030104033</v>
          </cell>
          <cell r="B218" t="str">
            <v>Опилки древесные, загрязненные бензином (содержание бензина – 15 % и более)</v>
          </cell>
        </row>
        <row r="219">
          <cell r="A219" t="str">
            <v xml:space="preserve"> 1713030201034</v>
          </cell>
          <cell r="B219" t="str">
            <v>Стружка древесная, загрязненная бензином (содержание бензина – менее 15 %)</v>
          </cell>
        </row>
        <row r="220">
          <cell r="A220" t="str">
            <v xml:space="preserve"> 1713030204033</v>
          </cell>
          <cell r="B220" t="str">
            <v>Стружка древесная, загрязненная бензином (содержание бензина – 15 % и более)</v>
          </cell>
        </row>
        <row r="221">
          <cell r="A221" t="str">
            <v xml:space="preserve"> 1719000000000</v>
          </cell>
          <cell r="B221" t="str">
            <v>Прочие отходы обработки и переработки древесины</v>
          </cell>
        </row>
        <row r="222">
          <cell r="A222" t="str">
            <v xml:space="preserve"> 1719010001000</v>
          </cell>
          <cell r="B222" t="str">
            <v>Разнородные древесные отходы</v>
          </cell>
        </row>
        <row r="223">
          <cell r="A223" t="str">
            <v xml:space="preserve"> 1719010101004</v>
          </cell>
          <cell r="B223" t="str">
            <v>Опилки разнородной древесины (например, содержащие опилки древесно-стружечных и/или древесно-волокнистых плит)</v>
          </cell>
        </row>
        <row r="224">
          <cell r="A224" t="str">
            <v xml:space="preserve"> 1719010201004</v>
          </cell>
          <cell r="B224" t="str">
            <v>Стружка разнородной древесины (например, содержащая стружку древесно-стружечных и/или древесно-волокнистых плит)</v>
          </cell>
        </row>
        <row r="225">
          <cell r="A225" t="str">
            <v xml:space="preserve"> 1719010301004</v>
          </cell>
          <cell r="B225" t="str">
            <v>Опилки и стружки разнородной древесины (например, содержащие опилки и стружку древесно-стружечных и/или древесно- волокнистых плит)</v>
          </cell>
        </row>
        <row r="226">
          <cell r="A226" t="str">
            <v xml:space="preserve"> 1719010411004</v>
          </cell>
          <cell r="B226" t="str">
            <v>Пыль от обработки разнородной древесины (например, содержащая пыль древесно-стружечных и/или древесно- волокнистых плит)</v>
          </cell>
        </row>
        <row r="227">
          <cell r="A227" t="str">
            <v xml:space="preserve"> 1719010504004</v>
          </cell>
          <cell r="B227" t="str">
            <v>Шлам от обработки разнородной древесины (например, содержащий шлам древесно-стружечных и/или древесно-волокнистых плит)</v>
          </cell>
        </row>
        <row r="228">
          <cell r="A228" t="str">
            <v xml:space="preserve"> 1719010601004</v>
          </cell>
          <cell r="B228" t="str">
            <v>Обрезь разнородной древесины (например, содержащая обрезь древесно-стружечных и/или древесно-волокнистых плит)</v>
          </cell>
        </row>
        <row r="229">
          <cell r="A229" t="str">
            <v xml:space="preserve"> 1730000000000</v>
          </cell>
          <cell r="B229" t="str">
            <v>Отходы лесозаготовок и вырубок</v>
          </cell>
        </row>
        <row r="230">
          <cell r="A230" t="str">
            <v xml:space="preserve"> 1730010001000</v>
          </cell>
          <cell r="B230" t="str">
            <v>Отходы древесины от лесоразработок</v>
          </cell>
        </row>
        <row r="231">
          <cell r="A231" t="str">
            <v xml:space="preserve"> 1730010101005</v>
          </cell>
          <cell r="B231" t="str">
            <v>Отходы сучьев, ветвей от лесоразработок</v>
          </cell>
        </row>
        <row r="232">
          <cell r="A232" t="str">
            <v xml:space="preserve"> 1730010201005</v>
          </cell>
          <cell r="B232" t="str">
            <v>Отходы корчевания пней</v>
          </cell>
        </row>
        <row r="233">
          <cell r="A233" t="str">
            <v xml:space="preserve"> 1800000000000</v>
          </cell>
          <cell r="B233" t="str">
            <v>Отходы целлюлозы бумаги и картона</v>
          </cell>
        </row>
        <row r="234">
          <cell r="A234" t="str">
            <v xml:space="preserve"> 1810000000000</v>
          </cell>
          <cell r="B234" t="str">
            <v>Отходы производства целлюлозы</v>
          </cell>
        </row>
        <row r="235">
          <cell r="A235" t="str">
            <v xml:space="preserve"> 1840000000000</v>
          </cell>
          <cell r="B235" t="str">
            <v>Отходы переработки целлюлозы</v>
          </cell>
        </row>
        <row r="236">
          <cell r="A236" t="str">
            <v xml:space="preserve"> 1870000000000</v>
          </cell>
          <cell r="B236" t="str">
            <v>Отходы бумаги и картона</v>
          </cell>
        </row>
        <row r="237">
          <cell r="A237" t="str">
            <v xml:space="preserve"> 1871000000000</v>
          </cell>
          <cell r="B237" t="str">
            <v>Отходы бумаги и картона незагрязненные</v>
          </cell>
        </row>
        <row r="238">
          <cell r="A238" t="str">
            <v xml:space="preserve"> 1871010001000</v>
          </cell>
          <cell r="B238" t="str">
            <v>Отходы бумаги и картона от резки и штамповки незагрязненные</v>
          </cell>
        </row>
        <row r="239">
          <cell r="A239" t="str">
            <v xml:space="preserve"> 1871010101005</v>
          </cell>
          <cell r="B239" t="str">
            <v>Отходы бумаги от резки и штамповки</v>
          </cell>
        </row>
        <row r="240">
          <cell r="A240" t="str">
            <v xml:space="preserve"> 1871010201005</v>
          </cell>
          <cell r="B240" t="str">
            <v>Отходы картона от резки и штамповки</v>
          </cell>
        </row>
        <row r="241">
          <cell r="A241" t="str">
            <v xml:space="preserve"> 1871010301005</v>
          </cell>
          <cell r="B241" t="str">
            <v>Обрезь гофрокартона</v>
          </cell>
        </row>
        <row r="242">
          <cell r="A242" t="str">
            <v xml:space="preserve"> 1871020001000</v>
          </cell>
          <cell r="B242" t="str">
            <v>Отходы упаковочных материалов из бумаги и картона незагрязненные</v>
          </cell>
        </row>
        <row r="243">
          <cell r="A243" t="str">
            <v xml:space="preserve"> 1871020101005</v>
          </cell>
          <cell r="B243" t="str">
            <v>Отходы упаковочной бумаги незагрязненные</v>
          </cell>
        </row>
        <row r="244">
          <cell r="A244" t="str">
            <v xml:space="preserve"> 1871020201005</v>
          </cell>
          <cell r="B244" t="str">
            <v>Отходы упаковочного картона незагрязненные</v>
          </cell>
        </row>
        <row r="245">
          <cell r="A245" t="str">
            <v xml:space="preserve"> 1871020301005</v>
          </cell>
          <cell r="B245" t="str">
            <v>Отходы упаковочного гофрокартона незагрязненные</v>
          </cell>
        </row>
        <row r="246">
          <cell r="A246" t="str">
            <v xml:space="preserve"> 1871030001005</v>
          </cell>
          <cell r="B246" t="str">
            <v>Отходы бумаги и картона от канцелярской деятельности и делопроизводства</v>
          </cell>
        </row>
        <row r="247">
          <cell r="A247" t="str">
            <v xml:space="preserve"> 1871040001005</v>
          </cell>
          <cell r="B247" t="str">
            <v>Срыв бумаги и картона</v>
          </cell>
        </row>
        <row r="248">
          <cell r="A248" t="str">
            <v xml:space="preserve"> 1871050001005</v>
          </cell>
          <cell r="B248" t="str">
            <v>Отходы печатной продукции (черно-белая печать)</v>
          </cell>
        </row>
        <row r="249">
          <cell r="A249" t="str">
            <v xml:space="preserve"> 1871060001005</v>
          </cell>
          <cell r="B249" t="str">
            <v>Отходы печатной продукции (цветная печать)</v>
          </cell>
        </row>
        <row r="250">
          <cell r="A250" t="str">
            <v xml:space="preserve"> 1871070001005</v>
          </cell>
          <cell r="B250" t="str">
            <v>Бумажные фильтры неиспользованные, брак</v>
          </cell>
        </row>
        <row r="251">
          <cell r="A251" t="str">
            <v xml:space="preserve"> 1871990001000</v>
          </cell>
          <cell r="B251" t="str">
            <v>Прочие незагрязненные отходы бумаги и картона</v>
          </cell>
        </row>
        <row r="252">
          <cell r="A252" t="str">
            <v xml:space="preserve"> 1871990101005</v>
          </cell>
          <cell r="B252" t="str">
            <v>Прочие отходы бумаги незагрязненные</v>
          </cell>
        </row>
        <row r="253">
          <cell r="A253" t="str">
            <v xml:space="preserve"> 1871990201005</v>
          </cell>
          <cell r="B253" t="str">
            <v>Прочие отходы картона незагрязненные</v>
          </cell>
        </row>
        <row r="254">
          <cell r="A254" t="str">
            <v xml:space="preserve"> 1871990301005</v>
          </cell>
          <cell r="B254" t="str">
            <v>Прочие отходы гофрокартона незагрязненные</v>
          </cell>
        </row>
        <row r="255">
          <cell r="A255" t="str">
            <v xml:space="preserve"> 1872000000000</v>
          </cell>
          <cell r="B255" t="str">
            <v>Отходы бумаги и картона с пропиткой и покрытиями</v>
          </cell>
        </row>
        <row r="256">
          <cell r="A256" t="str">
            <v xml:space="preserve"> 1872010001000</v>
          </cell>
          <cell r="B256" t="str">
            <v>Отходы бумаги и картона с синтетическим покрытием</v>
          </cell>
        </row>
        <row r="257">
          <cell r="A257" t="str">
            <v xml:space="preserve"> 1872010101014</v>
          </cell>
          <cell r="B257" t="str">
            <v>Отходы бумаги с нанесенным лаком</v>
          </cell>
        </row>
        <row r="258">
          <cell r="A258" t="str">
            <v xml:space="preserve"> 1872010201014</v>
          </cell>
          <cell r="B258" t="str">
            <v>Отходы бумажной клеевой ленты</v>
          </cell>
        </row>
        <row r="259">
          <cell r="A259" t="str">
            <v xml:space="preserve"> 1872020001014</v>
          </cell>
          <cell r="B259" t="str">
            <v>Отходы фотобумаги</v>
          </cell>
        </row>
        <row r="260">
          <cell r="A260" t="str">
            <v xml:space="preserve"> 1872030001005</v>
          </cell>
          <cell r="B260" t="str">
            <v>Отходы вощеной бумаги</v>
          </cell>
        </row>
        <row r="261">
          <cell r="A261" t="str">
            <v xml:space="preserve"> 1872040001000</v>
          </cell>
          <cell r="B261" t="str">
            <v>Отходы рубероида, толи и бумаги, пропитанной битумом</v>
          </cell>
        </row>
        <row r="262">
          <cell r="A262" t="str">
            <v xml:space="preserve"> 1872040101014</v>
          </cell>
          <cell r="B262" t="str">
            <v>Отходы рубероида</v>
          </cell>
        </row>
        <row r="263">
          <cell r="A263" t="str">
            <v xml:space="preserve"> 1872040201014</v>
          </cell>
          <cell r="B263" t="str">
            <v>Отходы толи</v>
          </cell>
        </row>
        <row r="264">
          <cell r="A264" t="str">
            <v xml:space="preserve"> 1879000000000</v>
          </cell>
          <cell r="B264" t="str">
            <v>Прочие отходы бумаги и картона</v>
          </cell>
        </row>
        <row r="265">
          <cell r="A265" t="str">
            <v xml:space="preserve"> 1879010001004</v>
          </cell>
          <cell r="B265" t="str">
            <v>Разнородные отходы бумаги и картона (например, содержащие отходы фотобумаги)</v>
          </cell>
        </row>
        <row r="266">
          <cell r="A266" t="str">
            <v xml:space="preserve"> 1900000000000</v>
          </cell>
          <cell r="B266" t="str">
            <v>Другие отходы от переработки продуктов животного и растительного происхождения</v>
          </cell>
        </row>
        <row r="267">
          <cell r="A267" t="str">
            <v xml:space="preserve"> 1980000000000</v>
          </cell>
          <cell r="B267" t="str">
            <v>Другие отходы от переработки и рафинирования продуктов растительного происхождения</v>
          </cell>
        </row>
        <row r="268">
          <cell r="A268" t="str">
            <v xml:space="preserve"> 1990000000000</v>
          </cell>
          <cell r="B268" t="str">
            <v>Другие отходы от переработки и рафинирования продуктов животного происхождения</v>
          </cell>
        </row>
        <row r="269">
          <cell r="A269" t="str">
            <v xml:space="preserve"> 3000000000000</v>
          </cell>
          <cell r="B269" t="str">
            <v>Отходы минерального происхождения</v>
          </cell>
        </row>
        <row r="270">
          <cell r="A270" t="str">
            <v xml:space="preserve"> 3100000000000</v>
          </cell>
          <cell r="B270" t="str">
            <v>Отходы минерального происхождения (исключая отходы металлов)</v>
          </cell>
        </row>
        <row r="271">
          <cell r="A271" t="str">
            <v xml:space="preserve"> 3110000000000</v>
          </cell>
          <cell r="B271" t="str">
            <v>Печной бой, металлургическтй и литейный щебень (брак)</v>
          </cell>
        </row>
        <row r="272">
          <cell r="A272" t="str">
            <v xml:space="preserve"> 3110020001995</v>
          </cell>
          <cell r="B272" t="str">
            <v>Бой неиспользованных кварцевых тиглей</v>
          </cell>
        </row>
        <row r="273">
          <cell r="A273" t="str">
            <v xml:space="preserve"> 3111000001000</v>
          </cell>
          <cell r="B273" t="str">
            <v>Бой от печей металлургических процессов</v>
          </cell>
        </row>
        <row r="274">
          <cell r="A274" t="str">
            <v xml:space="preserve"> 3111020001000</v>
          </cell>
          <cell r="B274" t="str">
            <v>Бой отработанной футеровки алюминиевого производства</v>
          </cell>
        </row>
        <row r="275">
          <cell r="A275" t="str">
            <v xml:space="preserve"> 3111020101004</v>
          </cell>
          <cell r="B275" t="str">
            <v>Футеровка миксеров алюминиевого производства отработанная</v>
          </cell>
        </row>
        <row r="276">
          <cell r="A276" t="str">
            <v xml:space="preserve"> 3111020201004</v>
          </cell>
          <cell r="B276" t="str">
            <v>Футеровка пламенных печей и печей переплава алюминиевого производства отработанная</v>
          </cell>
        </row>
        <row r="277">
          <cell r="A277" t="str">
            <v xml:space="preserve"> 3111020301004</v>
          </cell>
          <cell r="B277" t="str">
            <v>Футеровка разливочных и вакуумных ковшей алюминиевого производства отработанная</v>
          </cell>
        </row>
        <row r="278">
          <cell r="A278" t="str">
            <v xml:space="preserve"> 3111020401004</v>
          </cell>
          <cell r="B278" t="str">
            <v>Кирпичная футеровка алюминиевых электролизеров отработанная</v>
          </cell>
        </row>
        <row r="279">
          <cell r="A279" t="str">
            <v xml:space="preserve"> 3120000000000</v>
          </cell>
          <cell r="B279" t="str">
            <v>Металлургические шлаки, съемы и пыль</v>
          </cell>
        </row>
        <row r="280">
          <cell r="A280" t="str">
            <v xml:space="preserve"> 3120290001014</v>
          </cell>
          <cell r="B280" t="str">
            <v>Шлак печей переплава алюминиевого производства</v>
          </cell>
        </row>
        <row r="281">
          <cell r="A281" t="str">
            <v xml:space="preserve"> 3120310011013</v>
          </cell>
          <cell r="B281" t="str">
            <v>Пыль электрофильтров алюминиевого производства</v>
          </cell>
        </row>
        <row r="282">
          <cell r="A282" t="str">
            <v xml:space="preserve"> 3130000000000</v>
          </cell>
          <cell r="B282" t="str">
            <v>Золы, шлаки и пыль от топочных установок и от термической обработки отходов</v>
          </cell>
        </row>
        <row r="283">
          <cell r="A283" t="str">
            <v xml:space="preserve"> 3130020001000</v>
          </cell>
          <cell r="B283" t="str">
            <v>Золошлаки от сжигания углей</v>
          </cell>
        </row>
        <row r="284">
          <cell r="A284" t="str">
            <v xml:space="preserve"> 3130020101995</v>
          </cell>
          <cell r="B284" t="str">
            <v>Золошлаки от сжигания углей (Башкирский бурый, Ирша-Бородинский, Назаровский)</v>
          </cell>
        </row>
        <row r="285">
          <cell r="A285" t="str">
            <v xml:space="preserve"> 3130020201004</v>
          </cell>
          <cell r="B285" t="str">
            <v>Золошлаки от сжигания углей (Березовский)</v>
          </cell>
        </row>
        <row r="286">
          <cell r="A286" t="str">
            <v xml:space="preserve"> 3130060011995</v>
          </cell>
          <cell r="B286" t="str">
            <v>Зола древесная и соломенная</v>
          </cell>
        </row>
        <row r="287">
          <cell r="A287" t="str">
            <v xml:space="preserve"> 3140000000000</v>
          </cell>
          <cell r="B287" t="str">
            <v>Прочие твердые минеральные отходы</v>
          </cell>
        </row>
        <row r="288">
          <cell r="A288" t="str">
            <v xml:space="preserve"> 3140010008004</v>
          </cell>
          <cell r="B288" t="str">
            <v>Горновой песок литейного производства</v>
          </cell>
        </row>
        <row r="289">
          <cell r="A289" t="str">
            <v xml:space="preserve"> 3140020008004</v>
          </cell>
          <cell r="B289" t="str">
            <v>Отходы песка очистных и пескоструйных устройств (в металлургии)</v>
          </cell>
        </row>
        <row r="290">
          <cell r="A290" t="str">
            <v xml:space="preserve"> 3140030011004</v>
          </cell>
          <cell r="B290" t="str">
            <v>Абразивная пыль и порошок от шлифования черных металлов (с содержанием металла менее 50 %)</v>
          </cell>
        </row>
        <row r="291">
          <cell r="A291" t="str">
            <v xml:space="preserve"> 3140050001995</v>
          </cell>
          <cell r="B291" t="str">
            <v>Отходы стекловолокна</v>
          </cell>
        </row>
        <row r="292">
          <cell r="A292" t="str">
            <v xml:space="preserve"> 3140060001000</v>
          </cell>
          <cell r="B292" t="str">
            <v>Отходы керамзита</v>
          </cell>
        </row>
        <row r="293">
          <cell r="A293" t="str">
            <v xml:space="preserve"> 3140060111004</v>
          </cell>
          <cell r="B293" t="str">
            <v>Пыль керамзитовая</v>
          </cell>
        </row>
        <row r="294">
          <cell r="A294" t="str">
            <v xml:space="preserve"> 3140060201995</v>
          </cell>
          <cell r="B294" t="str">
            <v>Отходы керамзита в кусковой форме</v>
          </cell>
        </row>
        <row r="295">
          <cell r="A295" t="str">
            <v xml:space="preserve"> 3140070001000</v>
          </cell>
          <cell r="B295" t="str">
            <v>Отходы керамики</v>
          </cell>
        </row>
        <row r="296">
          <cell r="A296" t="str">
            <v xml:space="preserve"> 3140070111004</v>
          </cell>
          <cell r="B296" t="str">
            <v>Пыль керамическая</v>
          </cell>
        </row>
        <row r="297">
          <cell r="A297" t="str">
            <v xml:space="preserve"> 3140070201995</v>
          </cell>
          <cell r="B297" t="str">
            <v>Отходы керамики в кусковой форме</v>
          </cell>
        </row>
        <row r="298">
          <cell r="A298" t="str">
            <v xml:space="preserve"> 3140070301995</v>
          </cell>
          <cell r="B298" t="str">
            <v>Керамические изделия, потерявшие потребительские свойства</v>
          </cell>
        </row>
        <row r="299">
          <cell r="A299" t="str">
            <v xml:space="preserve"> 3140080001000</v>
          </cell>
          <cell r="B299" t="str">
            <v>Стеклянные отходы</v>
          </cell>
        </row>
        <row r="300">
          <cell r="A300" t="str">
            <v xml:space="preserve"> 3140080111004</v>
          </cell>
          <cell r="B300" t="str">
            <v>Пыль стеклянная</v>
          </cell>
        </row>
        <row r="301">
          <cell r="A301" t="str">
            <v xml:space="preserve"> 3140080201995</v>
          </cell>
          <cell r="B301" t="str">
            <v>Стеклянный бой незагрязненный (исключая бой стекла электронно-лучевых трубок и люминесцентных ламп)</v>
          </cell>
        </row>
        <row r="302">
          <cell r="A302" t="str">
            <v xml:space="preserve"> 3140090001000</v>
          </cell>
          <cell r="B302" t="str">
            <v>Отходы строительного щебня</v>
          </cell>
        </row>
        <row r="303">
          <cell r="A303" t="str">
            <v xml:space="preserve"> 3140090111004</v>
          </cell>
          <cell r="B303" t="str">
            <v>Пыль щебеночная</v>
          </cell>
        </row>
        <row r="304">
          <cell r="A304" t="str">
            <v xml:space="preserve"> 3140090201995</v>
          </cell>
          <cell r="B304" t="str">
            <v>Строительный щебень, потерявший потребительские свойства</v>
          </cell>
        </row>
        <row r="305">
          <cell r="A305" t="str">
            <v xml:space="preserve"> 3140100001995</v>
          </cell>
          <cell r="B305" t="str">
            <v>Лом дорожного полотна автомобильных дорог (исключая битум и асфальтовые покрытия)</v>
          </cell>
        </row>
        <row r="306">
          <cell r="A306" t="str">
            <v xml:space="preserve"> 3140110008995</v>
          </cell>
          <cell r="B306" t="str">
            <v>Грунт, образовавшийся при проведении землеройных работ, незагрязненный опасными веществами</v>
          </cell>
        </row>
        <row r="307">
          <cell r="A307" t="str">
            <v xml:space="preserve"> 3140120001000</v>
          </cell>
          <cell r="B307" t="str">
            <v>Отходы асбоцемента</v>
          </cell>
        </row>
        <row r="308">
          <cell r="A308" t="str">
            <v xml:space="preserve"> 3140120111013</v>
          </cell>
          <cell r="B308" t="str">
            <v>Пыль асбоцементная</v>
          </cell>
        </row>
        <row r="309">
          <cell r="A309" t="str">
            <v xml:space="preserve"> 3140120201014</v>
          </cell>
          <cell r="B309" t="str">
            <v>Отходы асбоцемента в кусковой форме</v>
          </cell>
        </row>
        <row r="310">
          <cell r="A310" t="str">
            <v xml:space="preserve"> 3140130001000</v>
          </cell>
          <cell r="B310" t="str">
            <v>Отходы известняка и доломита</v>
          </cell>
        </row>
        <row r="311">
          <cell r="A311" t="str">
            <v xml:space="preserve"> 3140130111004</v>
          </cell>
          <cell r="B311" t="str">
            <v>Пыль известковая и доломитовая</v>
          </cell>
        </row>
        <row r="312">
          <cell r="A312" t="str">
            <v xml:space="preserve"> 3140130208995</v>
          </cell>
          <cell r="B312" t="str">
            <v>Мелочь известковая и доломитовая с размером частиц не более 5 мм (отсев)</v>
          </cell>
        </row>
        <row r="313">
          <cell r="A313" t="str">
            <v xml:space="preserve"> 3140130301995</v>
          </cell>
          <cell r="B313" t="str">
            <v>Отходы известняка и доломита в кусковой форме</v>
          </cell>
        </row>
        <row r="314">
          <cell r="A314" t="str">
            <v xml:space="preserve"> 3140130408995</v>
          </cell>
          <cell r="B314" t="str">
            <v>Щебень известковый (некондиционный скол)</v>
          </cell>
        </row>
        <row r="315">
          <cell r="A315" t="str">
            <v xml:space="preserve"> 3140130511004</v>
          </cell>
          <cell r="B315" t="str">
            <v>Отходы мела в виде порошка или пыли</v>
          </cell>
        </row>
        <row r="316">
          <cell r="A316" t="str">
            <v xml:space="preserve"> 3140130608995</v>
          </cell>
          <cell r="B316" t="str">
            <v>Фильтрационный осадок сахарного производства («сахарный дефекат»)</v>
          </cell>
        </row>
        <row r="317">
          <cell r="A317" t="str">
            <v xml:space="preserve"> 3140140001000</v>
          </cell>
          <cell r="B317" t="str">
            <v>Отходы кирпича (включая шамотный кирпич)</v>
          </cell>
        </row>
        <row r="318">
          <cell r="A318" t="str">
            <v xml:space="preserve"> 3140140101995</v>
          </cell>
          <cell r="B318" t="str">
            <v>Бой шамотного кирпича</v>
          </cell>
        </row>
        <row r="319">
          <cell r="A319" t="str">
            <v xml:space="preserve"> 3140140211004</v>
          </cell>
          <cell r="B319" t="str">
            <v>Пыль кирпичная</v>
          </cell>
        </row>
        <row r="320">
          <cell r="A320" t="str">
            <v xml:space="preserve"> 3140140301995</v>
          </cell>
          <cell r="B320" t="str">
            <v>Бой кирпичной кладки при ремонте зданий и сооружений</v>
          </cell>
        </row>
        <row r="321">
          <cell r="A321" t="str">
            <v xml:space="preserve"> 3140140401995</v>
          </cell>
          <cell r="B321" t="str">
            <v>Бой строительного кирпича</v>
          </cell>
        </row>
        <row r="322">
          <cell r="A322" t="str">
            <v xml:space="preserve"> 3140140501995</v>
          </cell>
          <cell r="B322" t="str">
            <v>Отходы огнеупорного мертеля</v>
          </cell>
        </row>
        <row r="323">
          <cell r="A323" t="str">
            <v xml:space="preserve"> 3140160001000</v>
          </cell>
          <cell r="B323" t="str">
            <v>Отходы минерального волокна</v>
          </cell>
        </row>
        <row r="324">
          <cell r="A324" t="str">
            <v xml:space="preserve"> 3140160101004</v>
          </cell>
          <cell r="B324" t="str">
            <v>Отходы шлаковаты</v>
          </cell>
        </row>
        <row r="325">
          <cell r="A325" t="str">
            <v xml:space="preserve"> 3140160211004</v>
          </cell>
          <cell r="B325" t="str">
            <v>Пыль от шлаковаты</v>
          </cell>
        </row>
        <row r="326">
          <cell r="A326" t="str">
            <v xml:space="preserve"> 3140160301004</v>
          </cell>
          <cell r="B326" t="str">
            <v>Отходы базальтового супертонкого волокна</v>
          </cell>
        </row>
        <row r="327">
          <cell r="A327" t="str">
            <v xml:space="preserve"> 3140170001995</v>
          </cell>
          <cell r="B327" t="str">
            <v>Отходы активированного угля, незагрязненного опасными веществами</v>
          </cell>
        </row>
        <row r="328">
          <cell r="A328" t="str">
            <v xml:space="preserve"> 3140210001000</v>
          </cell>
          <cell r="B328" t="str">
            <v>Отходы каменного угля</v>
          </cell>
        </row>
        <row r="329">
          <cell r="A329" t="str">
            <v xml:space="preserve"> 3140210111004</v>
          </cell>
          <cell r="B329" t="str">
            <v>Пыль каменноугольная</v>
          </cell>
        </row>
        <row r="330">
          <cell r="A330" t="str">
            <v xml:space="preserve"> 3140210213995</v>
          </cell>
          <cell r="B330" t="str">
            <v>Электроды угольные отработанные, не загрязненные опасными веществами</v>
          </cell>
        </row>
        <row r="331">
          <cell r="A331" t="str">
            <v xml:space="preserve"> 3140210301004</v>
          </cell>
          <cell r="B331" t="str">
            <v>Огарки обожженных анодов алюминиевого производства</v>
          </cell>
        </row>
        <row r="332">
          <cell r="A332" t="str">
            <v xml:space="preserve"> 3140210401005</v>
          </cell>
          <cell r="B332" t="str">
            <v>Отходы каменного угля в виде крошки</v>
          </cell>
        </row>
        <row r="333">
          <cell r="A333" t="str">
            <v xml:space="preserve"> 3140230001000</v>
          </cell>
          <cell r="B333" t="str">
            <v>Отходы песка</v>
          </cell>
        </row>
        <row r="334">
          <cell r="A334" t="str">
            <v xml:space="preserve"> 3140230101995</v>
          </cell>
          <cell r="B334" t="str">
            <v>Отходы песка, незагрязненного опасными веществами</v>
          </cell>
        </row>
        <row r="335">
          <cell r="A335" t="str">
            <v xml:space="preserve"> 3140230201034</v>
          </cell>
          <cell r="B335" t="str">
            <v>Песок, загрязненный мазутом (содержание мазута - менее 15 %)</v>
          </cell>
        </row>
        <row r="336">
          <cell r="A336" t="str">
            <v xml:space="preserve"> 3140230204033</v>
          </cell>
          <cell r="B336" t="str">
            <v>Песок, загрязненный мазутом (содержание мазута - 15 % и более)</v>
          </cell>
        </row>
        <row r="337">
          <cell r="A337" t="str">
            <v xml:space="preserve"> 3140230301034</v>
          </cell>
          <cell r="B337" t="str">
            <v>Песок, загрязненный маслами (содержание масел менее 15 %)</v>
          </cell>
        </row>
        <row r="338">
          <cell r="A338" t="str">
            <v xml:space="preserve"> 3140230304033</v>
          </cell>
          <cell r="B338" t="str">
            <v>Песок, загрязненный маслами (содержание масел 15 % и более)</v>
          </cell>
        </row>
        <row r="339">
          <cell r="A339" t="str">
            <v xml:space="preserve"> 3140230401034</v>
          </cell>
          <cell r="B339" t="str">
            <v>Песок, загрязненный бензином (количество бензина менее 15 %)</v>
          </cell>
        </row>
        <row r="340">
          <cell r="A340" t="str">
            <v xml:space="preserve"> 3140230404033</v>
          </cell>
          <cell r="B340" t="str">
            <v>Песок, загрязненный бензином (количество бензина 15 % и более)</v>
          </cell>
        </row>
        <row r="341">
          <cell r="A341" t="str">
            <v xml:space="preserve"> 3140270001000</v>
          </cell>
          <cell r="B341" t="str">
            <v>Отходы бетона, железобетона</v>
          </cell>
        </row>
        <row r="342">
          <cell r="A342" t="str">
            <v xml:space="preserve"> 3140270101995</v>
          </cell>
          <cell r="B342" t="str">
            <v>Бой бетонных изделий, отходы бетона в кусковой форме</v>
          </cell>
        </row>
        <row r="343">
          <cell r="A343" t="str">
            <v xml:space="preserve"> 3140270201995</v>
          </cell>
          <cell r="B343" t="str">
            <v>Бой железобетонных изделий, отходы железобетона в кусковой форме</v>
          </cell>
        </row>
        <row r="344">
          <cell r="A344" t="str">
            <v xml:space="preserve"> 3140270311004</v>
          </cell>
          <cell r="B344" t="str">
            <v>Пыль бетонная</v>
          </cell>
        </row>
        <row r="345">
          <cell r="A345" t="str">
            <v xml:space="preserve"> 3140320001000</v>
          </cell>
          <cell r="B345" t="str">
            <v>Отходы графита</v>
          </cell>
        </row>
        <row r="346">
          <cell r="A346" t="str">
            <v xml:space="preserve"> 3140320111004</v>
          </cell>
          <cell r="B346" t="str">
            <v>Пыль графитная</v>
          </cell>
        </row>
        <row r="347">
          <cell r="A347" t="str">
            <v xml:space="preserve"> 3140320213995</v>
          </cell>
          <cell r="B347" t="str">
            <v>Электроды графитовые, отработанные, не загрязненные опасными веществами</v>
          </cell>
        </row>
        <row r="348">
          <cell r="A348" t="str">
            <v xml:space="preserve"> 3140340008000</v>
          </cell>
          <cell r="B348" t="str">
            <v>Отходы древесного угля</v>
          </cell>
        </row>
        <row r="349">
          <cell r="A349" t="str">
            <v xml:space="preserve"> 3140340111004</v>
          </cell>
          <cell r="B349" t="str">
            <v>Пыль древесного угля</v>
          </cell>
        </row>
        <row r="350">
          <cell r="A350" t="str">
            <v xml:space="preserve"> 3140340208995</v>
          </cell>
          <cell r="B350" t="str">
            <v>Отходы древесного угля в кусковой форме</v>
          </cell>
        </row>
        <row r="351">
          <cell r="A351" t="str">
            <v xml:space="preserve"> 3140350001000</v>
          </cell>
          <cell r="B351" t="str">
            <v>Отходы асфальтобетона и асфальтобетонной смеси</v>
          </cell>
        </row>
        <row r="352">
          <cell r="A352" t="str">
            <v xml:space="preserve"> 3140350111004</v>
          </cell>
          <cell r="B352" t="str">
            <v>Отходы асфальтобетона и/или асфальтобетонной смеси в виде пыли</v>
          </cell>
        </row>
        <row r="353">
          <cell r="A353" t="str">
            <v xml:space="preserve"> 3140350201004</v>
          </cell>
          <cell r="B353" t="str">
            <v>Отходы асфальтобетона и/или асфальтобетонной смеси в кусковой форме</v>
          </cell>
        </row>
        <row r="354">
          <cell r="A354" t="str">
            <v xml:space="preserve"> 3140360008000</v>
          </cell>
          <cell r="B354" t="str">
            <v>Отходы бетонной смеси</v>
          </cell>
        </row>
        <row r="355">
          <cell r="A355" t="str">
            <v xml:space="preserve"> 3140360108004</v>
          </cell>
          <cell r="B355" t="str">
            <v>Отходы бетонной смеси с содержанием пыли более 30 %</v>
          </cell>
        </row>
        <row r="356">
          <cell r="A356" t="str">
            <v xml:space="preserve"> 3140360208995</v>
          </cell>
          <cell r="B356" t="str">
            <v>отходы бетонной смеси с содержанием пыли менее 30 %</v>
          </cell>
        </row>
        <row r="357">
          <cell r="A357" t="str">
            <v xml:space="preserve"> 3140370001000</v>
          </cell>
          <cell r="B357" t="str">
            <v>Отходы асбеста</v>
          </cell>
        </row>
        <row r="358">
          <cell r="A358" t="str">
            <v xml:space="preserve"> 3140370111011</v>
          </cell>
          <cell r="B358" t="str">
            <v>Асбестовая пыль и волокно</v>
          </cell>
        </row>
        <row r="359">
          <cell r="A359" t="str">
            <v xml:space="preserve"> 3140370201014</v>
          </cell>
          <cell r="B359" t="str">
            <v>Отходы асбеста в кусковой форме</v>
          </cell>
        </row>
        <row r="360">
          <cell r="A360" t="str">
            <v xml:space="preserve"> 3140370301014</v>
          </cell>
          <cell r="B360" t="str">
            <v>Отходы асбестовой бумаги</v>
          </cell>
        </row>
        <row r="361">
          <cell r="A361" t="str">
            <v xml:space="preserve"> 3140380001000</v>
          </cell>
          <cell r="B361" t="str">
            <v>Отходы гипса</v>
          </cell>
        </row>
        <row r="362">
          <cell r="A362" t="str">
            <v xml:space="preserve"> 3140380111004</v>
          </cell>
          <cell r="B362" t="str">
            <v>Пыль гипсовая</v>
          </cell>
        </row>
        <row r="363">
          <cell r="A363" t="str">
            <v xml:space="preserve"> 3140380201995</v>
          </cell>
          <cell r="B363" t="str">
            <v>Отходы гипса в кусковой форме</v>
          </cell>
        </row>
        <row r="364">
          <cell r="A364" t="str">
            <v xml:space="preserve"> 3140390001000</v>
          </cell>
          <cell r="B364" t="str">
            <v>Отходы минеральные от газоочистки</v>
          </cell>
        </row>
        <row r="365">
          <cell r="A365" t="str">
            <v xml:space="preserve"> 3140390211004</v>
          </cell>
          <cell r="B365" t="str">
            <v>Пыль электрофильтров производства кремния</v>
          </cell>
        </row>
        <row r="366">
          <cell r="A366" t="str">
            <v xml:space="preserve"> 3140430001000</v>
          </cell>
          <cell r="B366" t="str">
            <v>Отходы абразивных материалов и инструментов</v>
          </cell>
        </row>
        <row r="367">
          <cell r="A367" t="str">
            <v xml:space="preserve"> 3140430101995</v>
          </cell>
          <cell r="B367" t="str">
            <v>Брак заготовок абразивных кругов</v>
          </cell>
        </row>
        <row r="368">
          <cell r="A368" t="str">
            <v xml:space="preserve"> 3140430201995</v>
          </cell>
          <cell r="B368" t="str">
            <v>Абразивные круги отработанные, лом отработанных абразивных кругов</v>
          </cell>
        </row>
        <row r="369">
          <cell r="A369" t="str">
            <v xml:space="preserve"> 3140430301995</v>
          </cell>
          <cell r="B369" t="str">
            <v>Шкурка шлифовальная отработанная</v>
          </cell>
        </row>
        <row r="370">
          <cell r="A370" t="str">
            <v xml:space="preserve"> 3140430411004</v>
          </cell>
          <cell r="B370" t="str">
            <v>Отходы абразивных материалов в виде пыли и порошка</v>
          </cell>
        </row>
        <row r="371">
          <cell r="A371" t="str">
            <v xml:space="preserve"> 3140480001994</v>
          </cell>
          <cell r="B371" t="str">
            <v>Шлак сварочный</v>
          </cell>
        </row>
        <row r="372">
          <cell r="A372" t="str">
            <v xml:space="preserve"> 3140500001995</v>
          </cell>
          <cell r="B372" t="str">
            <v>Накипь котельная</v>
          </cell>
        </row>
        <row r="373">
          <cell r="A373" t="str">
            <v xml:space="preserve"> 3140530011000</v>
          </cell>
          <cell r="B373" t="str">
            <v>Отходы кокса</v>
          </cell>
        </row>
        <row r="374">
          <cell r="A374" t="str">
            <v xml:space="preserve"> 3140530111004</v>
          </cell>
          <cell r="B374" t="str">
            <v>Пыль коксовая</v>
          </cell>
        </row>
        <row r="375">
          <cell r="A375" t="str">
            <v xml:space="preserve"> 3140530208005</v>
          </cell>
          <cell r="B375" t="str">
            <v>Мелочь коксовая с размером частиц не более 5 мм (отсев)</v>
          </cell>
        </row>
        <row r="376">
          <cell r="A376" t="str">
            <v xml:space="preserve"> 3140550001000</v>
          </cell>
          <cell r="B376" t="str">
            <v>Отходы цемента</v>
          </cell>
        </row>
        <row r="377">
          <cell r="A377" t="str">
            <v xml:space="preserve"> 3140550111003</v>
          </cell>
          <cell r="B377" t="str">
            <v>Пыль цементная</v>
          </cell>
        </row>
        <row r="378">
          <cell r="A378" t="str">
            <v xml:space="preserve"> 3140550201995</v>
          </cell>
          <cell r="B378" t="str">
            <v>Отходы цемента в кусковой форме</v>
          </cell>
        </row>
        <row r="379">
          <cell r="A379" t="str">
            <v xml:space="preserve"> 3140600001000</v>
          </cell>
          <cell r="B379" t="str">
            <v>Отходы глазури (эмали)</v>
          </cell>
        </row>
        <row r="380">
          <cell r="A380" t="str">
            <v xml:space="preserve"> 3140600111004</v>
          </cell>
          <cell r="B380" t="str">
            <v>Пыль глазури (эмали)</v>
          </cell>
        </row>
        <row r="381">
          <cell r="A381" t="str">
            <v xml:space="preserve"> 3147000000000</v>
          </cell>
          <cell r="B381" t="str">
            <v>Фильтровочные и поглотительные отработанные массы, незагрязненные опасными веществами</v>
          </cell>
        </row>
        <row r="382">
          <cell r="A382" t="str">
            <v xml:space="preserve"> 3147030001000</v>
          </cell>
          <cell r="B382" t="str">
            <v>Цеолит отработанный, незагрязненный опасными веществами</v>
          </cell>
        </row>
        <row r="383">
          <cell r="A383" t="str">
            <v xml:space="preserve"> 3147030101995</v>
          </cell>
          <cell r="B383" t="str">
            <v>Цеолит отработанный при осушке воздуха и газов</v>
          </cell>
        </row>
        <row r="384">
          <cell r="A384" t="str">
            <v xml:space="preserve"> 3147040001000</v>
          </cell>
          <cell r="B384" t="str">
            <v>Алюмогель отработанный, незагрязненный опасными веществами</v>
          </cell>
        </row>
        <row r="385">
          <cell r="A385" t="str">
            <v xml:space="preserve"> 3147040101995</v>
          </cell>
          <cell r="B385" t="str">
            <v>Алюмогель, отработанный при осушке воздуха и газов</v>
          </cell>
        </row>
        <row r="386">
          <cell r="A386" t="str">
            <v xml:space="preserve"> 3147050001000</v>
          </cell>
          <cell r="B386" t="str">
            <v>Силикагель отработанный, незагрязненный опасными веществами</v>
          </cell>
        </row>
        <row r="387">
          <cell r="A387" t="str">
            <v xml:space="preserve"> 3147050101995</v>
          </cell>
          <cell r="B387" t="str">
            <v>Силикагель, отработанный при осушке воздуха и газов</v>
          </cell>
        </row>
        <row r="388">
          <cell r="A388" t="str">
            <v xml:space="preserve"> 3148000000000</v>
          </cell>
          <cell r="B388" t="str">
            <v>Фильтровочные и поглотительные отработанные массы, загрязненные опасными веществами</v>
          </cell>
        </row>
        <row r="389">
          <cell r="A389" t="str">
            <v xml:space="preserve"> 3148010000000</v>
          </cell>
          <cell r="B389" t="str">
            <v>Уголь активированный отработанный, загрязненный опасными веществами</v>
          </cell>
        </row>
        <row r="390">
          <cell r="A390" t="str">
            <v xml:space="preserve"> 3148010201033</v>
          </cell>
          <cell r="B390" t="str">
            <v>Уголь активированный отработанный, загрязненный минеральными маслами (содержание масла - 15 % и более)</v>
          </cell>
        </row>
        <row r="391">
          <cell r="A391" t="str">
            <v xml:space="preserve"> 3148010201034</v>
          </cell>
          <cell r="B391" t="str">
            <v>Уголь активированный отработанный, загрязненный минеральными маслами (содержание масла - менее 15 %)</v>
          </cell>
        </row>
        <row r="392">
          <cell r="A392" t="str">
            <v xml:space="preserve"> 3148020000000</v>
          </cell>
          <cell r="B392" t="str">
            <v>Угольные фильтры отработанные, загрязненные опасными веществами</v>
          </cell>
        </row>
        <row r="393">
          <cell r="A393" t="str">
            <v xml:space="preserve"> 3148020201033</v>
          </cell>
          <cell r="B393" t="str">
            <v>Угольные фильтры отработанные, загрязненные минеральными маслами (содержание масла - 15 % и более)</v>
          </cell>
        </row>
        <row r="394">
          <cell r="A394" t="str">
            <v xml:space="preserve"> 3148020201034</v>
          </cell>
          <cell r="B394" t="str">
            <v>Угольные фильтры отработанные, загрязненные минеральными маслами (содержание масла - менее 15%)</v>
          </cell>
        </row>
        <row r="395">
          <cell r="A395" t="str">
            <v xml:space="preserve"> 3148030000000</v>
          </cell>
          <cell r="B395" t="str">
            <v>Коксовые массы отработанные, загрязненные опасными веществами</v>
          </cell>
        </row>
        <row r="396">
          <cell r="A396" t="str">
            <v xml:space="preserve"> 3148030201033</v>
          </cell>
          <cell r="B396" t="str">
            <v>Коксовые массы отработанные, загрязненные минеральными маслами (содержание масла - 15 % и более)</v>
          </cell>
        </row>
        <row r="397">
          <cell r="A397" t="str">
            <v xml:space="preserve"> 3148030201034</v>
          </cell>
          <cell r="B397" t="str">
            <v>Коксовые массы отработанные, загрязненные минеральными маслами (содержание масла - менее 15 %)</v>
          </cell>
        </row>
        <row r="398">
          <cell r="A398" t="str">
            <v xml:space="preserve"> 3160000000000</v>
          </cell>
          <cell r="B398" t="str">
            <v>Минеральные шламы</v>
          </cell>
        </row>
        <row r="399">
          <cell r="A399" t="str">
            <v xml:space="preserve"> 3160230004000</v>
          </cell>
          <cell r="B399" t="str">
            <v>Шлам карбоната кальция</v>
          </cell>
        </row>
        <row r="400">
          <cell r="A400" t="str">
            <v xml:space="preserve"> 3160230204995</v>
          </cell>
          <cell r="B400" t="str">
            <v>Известковый шлам при очистке свекловичного сока в сахарном производстве</v>
          </cell>
        </row>
        <row r="401">
          <cell r="A401" t="str">
            <v xml:space="preserve"> 3160350004995</v>
          </cell>
          <cell r="B401" t="str">
            <v>Шлам земляной от промывки овощей (свеклы, картофеля и т.д.)</v>
          </cell>
        </row>
        <row r="402">
          <cell r="A402" t="str">
            <v xml:space="preserve"> 3160440004000</v>
          </cell>
          <cell r="B402" t="str">
            <v>Шлам асбестовый</v>
          </cell>
        </row>
        <row r="403">
          <cell r="A403" t="str">
            <v xml:space="preserve"> 3160440104004</v>
          </cell>
          <cell r="B403" t="str">
            <v>Шлам асбестовый, незагрязненный опасными веществами</v>
          </cell>
        </row>
        <row r="404">
          <cell r="A404" t="str">
            <v xml:space="preserve"> 3160600004000</v>
          </cell>
          <cell r="B404" t="str">
            <v>Шлам минеральный от газоочистки</v>
          </cell>
        </row>
        <row r="405">
          <cell r="A405" t="str">
            <v xml:space="preserve"> 3160600204995</v>
          </cell>
          <cell r="B405" t="str">
            <v>Шлам минеральный от газоочистки производства кремния</v>
          </cell>
        </row>
        <row r="406">
          <cell r="A406" t="str">
            <v xml:space="preserve"> 3160600304013</v>
          </cell>
          <cell r="B406" t="str">
            <v>Шлам минеральный от газоочистки производства алюминия</v>
          </cell>
        </row>
        <row r="407">
          <cell r="A407" t="str">
            <v xml:space="preserve"> 3400000000000</v>
          </cell>
          <cell r="B407" t="str">
            <v>Отходы добывающей промышленности</v>
          </cell>
        </row>
        <row r="408">
          <cell r="A408" t="str">
            <v xml:space="preserve"> 3410000000000</v>
          </cell>
          <cell r="B408" t="str">
            <v>Отходы при добыче нефти и газа</v>
          </cell>
        </row>
        <row r="409">
          <cell r="A409" t="str">
            <v xml:space="preserve"> 3430000000000</v>
          </cell>
          <cell r="B409" t="str">
            <v>Отходы при добыче угля и горючих сланцев</v>
          </cell>
        </row>
        <row r="410">
          <cell r="A410" t="str">
            <v xml:space="preserve"> 3440000000000</v>
          </cell>
          <cell r="B410" t="str">
            <v>Отходы при добыче торфа</v>
          </cell>
        </row>
        <row r="411">
          <cell r="A411" t="str">
            <v xml:space="preserve"> 3450000000000</v>
          </cell>
          <cell r="B411" t="str">
            <v>Отходы при добыче рудных полезных ископаемых</v>
          </cell>
        </row>
        <row r="412">
          <cell r="A412" t="str">
            <v xml:space="preserve"> 3470000000000</v>
          </cell>
          <cell r="B412" t="str">
            <v>Отходы при добыче  нерудных полезных ископаемых</v>
          </cell>
        </row>
        <row r="413">
          <cell r="A413" t="str">
            <v xml:space="preserve"> 3490000000000</v>
          </cell>
          <cell r="B413" t="str">
            <v>Прочие отходы добывающей промышленности</v>
          </cell>
        </row>
        <row r="414">
          <cell r="A414" t="str">
            <v xml:space="preserve"> 3500000000000</v>
          </cell>
          <cell r="B414" t="str">
            <v>Отходы металлов и сплавов</v>
          </cell>
        </row>
        <row r="415">
          <cell r="A415" t="str">
            <v xml:space="preserve"> 3510000000000</v>
          </cell>
          <cell r="B415" t="str">
            <v>Лом и отходы черных металлов</v>
          </cell>
        </row>
        <row r="416">
          <cell r="A416" t="str">
            <v xml:space="preserve"> 3510010001000</v>
          </cell>
          <cell r="B416" t="str">
            <v>Лом и отходы металлокерамики с черными металлами</v>
          </cell>
        </row>
        <row r="417">
          <cell r="A417" t="str">
            <v xml:space="preserve"> 3510010101995</v>
          </cell>
          <cell r="B417" t="str">
            <v>Свечи зажигания автомобильные отработанные</v>
          </cell>
        </row>
        <row r="418">
          <cell r="A418" t="str">
            <v xml:space="preserve"> 3511000001000</v>
          </cell>
          <cell r="B418" t="str">
            <v>Лом и отходы, содержащие чугун</v>
          </cell>
        </row>
        <row r="419">
          <cell r="A419" t="str">
            <v xml:space="preserve"> 3511010001000</v>
          </cell>
          <cell r="B419" t="str">
            <v>Лом и отходы, содержащие чугун</v>
          </cell>
        </row>
        <row r="420">
          <cell r="A420" t="str">
            <v xml:space="preserve"> 3511010101995</v>
          </cell>
          <cell r="B420" t="str">
            <v>Лом чугунный несортированный</v>
          </cell>
        </row>
        <row r="421">
          <cell r="A421" t="str">
            <v xml:space="preserve"> 3511010201995</v>
          </cell>
          <cell r="B421" t="str">
            <v>Лом чугунный в кусковой форме</v>
          </cell>
        </row>
        <row r="422">
          <cell r="A422" t="str">
            <v xml:space="preserve"> 3511010313995</v>
          </cell>
          <cell r="B422" t="str">
            <v>Тара и упаковка чугунная незагрязненная, потерявшая потребительские свойства</v>
          </cell>
        </row>
        <row r="423">
          <cell r="A423" t="str">
            <v xml:space="preserve"> 3511011101004</v>
          </cell>
          <cell r="B423" t="str">
            <v>Отходы, содержащие чугун (в том числе чугунную пыль), несортированные</v>
          </cell>
        </row>
        <row r="424">
          <cell r="A424" t="str">
            <v xml:space="preserve"> 3511011201995</v>
          </cell>
          <cell r="B424" t="str">
            <v>Отходы, содержащие чугун в кусковой форме</v>
          </cell>
        </row>
        <row r="425">
          <cell r="A425" t="str">
            <v xml:space="preserve"> 3511011508995</v>
          </cell>
          <cell r="B425" t="str">
            <v>Опилки чугунные незагрязненные</v>
          </cell>
        </row>
        <row r="426">
          <cell r="A426" t="str">
            <v xml:space="preserve"> 3511011611004</v>
          </cell>
          <cell r="B426" t="str">
            <v>Пыль чугунная незагрязненная</v>
          </cell>
        </row>
        <row r="427">
          <cell r="A427" t="str">
            <v xml:space="preserve"> 3511011801995</v>
          </cell>
          <cell r="B427" t="str">
            <v>Скрап чугунный незагрязненный</v>
          </cell>
        </row>
        <row r="428">
          <cell r="A428" t="str">
            <v xml:space="preserve"> 3511012001995</v>
          </cell>
          <cell r="B428" t="str">
            <v>Стружка чугунная незагрязненная</v>
          </cell>
        </row>
        <row r="429">
          <cell r="A429" t="str">
            <v xml:space="preserve"> 3512000001000</v>
          </cell>
          <cell r="B429" t="str">
            <v>Лом и отходы, содержащие сталь</v>
          </cell>
        </row>
        <row r="430">
          <cell r="A430" t="str">
            <v xml:space="preserve"> 3512010001000</v>
          </cell>
          <cell r="B430" t="str">
            <v>Лом и отходы, содержащие сталь</v>
          </cell>
        </row>
        <row r="431">
          <cell r="A431" t="str">
            <v xml:space="preserve"> 3512010101995</v>
          </cell>
          <cell r="B431" t="str">
            <v>Лом стальной несортированный</v>
          </cell>
        </row>
        <row r="432">
          <cell r="A432" t="str">
            <v xml:space="preserve"> 3512010201995</v>
          </cell>
          <cell r="B432" t="str">
            <v>Лом стальной в кусковой форме незагрязненный</v>
          </cell>
        </row>
        <row r="433">
          <cell r="A433" t="str">
            <v xml:space="preserve"> 3512010313995</v>
          </cell>
          <cell r="B433" t="str">
            <v>Тара и упаковка из стали незагрязненная, потерявшая потребительские свойства</v>
          </cell>
        </row>
        <row r="434">
          <cell r="A434" t="str">
            <v xml:space="preserve"> 3512010501995</v>
          </cell>
          <cell r="B434" t="str">
            <v>Провод стальной незагрязненный, потерявший потребительские свойства</v>
          </cell>
        </row>
        <row r="435">
          <cell r="A435" t="str">
            <v xml:space="preserve"> 3512011101004</v>
          </cell>
          <cell r="B435" t="str">
            <v>Отходы, содержащие сталь (в том числе стальную пыль), несортированные</v>
          </cell>
        </row>
        <row r="436">
          <cell r="A436" t="str">
            <v xml:space="preserve"> 3512011201995</v>
          </cell>
          <cell r="B436" t="str">
            <v>Отходы, содержащие сталь в кусковой форме</v>
          </cell>
        </row>
        <row r="437">
          <cell r="A437" t="str">
            <v xml:space="preserve"> 3512011401995</v>
          </cell>
          <cell r="B437" t="str">
            <v>Отходы, содержащие листовой прокат стали</v>
          </cell>
        </row>
        <row r="438">
          <cell r="A438" t="str">
            <v xml:space="preserve"> 3512011508995</v>
          </cell>
          <cell r="B438" t="str">
            <v>Опилки стальные незагрязненные</v>
          </cell>
        </row>
        <row r="439">
          <cell r="A439" t="str">
            <v xml:space="preserve"> 3512011611004</v>
          </cell>
          <cell r="B439" t="str">
            <v>Пыль стальная незагрязненная</v>
          </cell>
        </row>
        <row r="440">
          <cell r="A440" t="str">
            <v xml:space="preserve"> 3512011801995</v>
          </cell>
          <cell r="B440" t="str">
            <v>Скрап стальной незагрязненный</v>
          </cell>
        </row>
        <row r="441">
          <cell r="A441" t="str">
            <v xml:space="preserve"> 3512012001995</v>
          </cell>
          <cell r="B441" t="str">
            <v>Стружка стальная незагрязненная</v>
          </cell>
        </row>
        <row r="442">
          <cell r="A442" t="str">
            <v xml:space="preserve"> 3512020001000</v>
          </cell>
          <cell r="B442" t="str">
            <v>Лом и отходы, содержащие углеродистую сталь</v>
          </cell>
        </row>
        <row r="443">
          <cell r="A443" t="str">
            <v xml:space="preserve"> 3512020101995</v>
          </cell>
          <cell r="B443" t="str">
            <v>Лом стали углеродистых марок несортированный</v>
          </cell>
        </row>
        <row r="444">
          <cell r="A444" t="str">
            <v xml:space="preserve"> 3512020201995</v>
          </cell>
          <cell r="B444" t="str">
            <v>Лом стали углеродистых марок в кусковой форме незагрязненный</v>
          </cell>
        </row>
        <row r="445">
          <cell r="A445" t="str">
            <v xml:space="preserve"> 3512020313995</v>
          </cell>
          <cell r="B445" t="str">
            <v>Тара и упаковка из стали углеродистых марок незагрязненная, потерявшая потребительские свойст</v>
          </cell>
        </row>
        <row r="446">
          <cell r="A446" t="str">
            <v xml:space="preserve"> 3512021101004</v>
          </cell>
          <cell r="B446" t="str">
            <v>Отходы, содержащие сталь углеродистых марок (в том числе стальную пыль), несортированные</v>
          </cell>
        </row>
        <row r="447">
          <cell r="A447" t="str">
            <v xml:space="preserve"> 3512021201995</v>
          </cell>
          <cell r="B447" t="str">
            <v>Отходы, содержащие сталь углеродистых марок в кусковой форме</v>
          </cell>
        </row>
        <row r="448">
          <cell r="A448" t="str">
            <v xml:space="preserve"> 3512021401995</v>
          </cell>
          <cell r="B448" t="str">
            <v>Отходы, содержащие листовой прокат стали углеродистых марок</v>
          </cell>
        </row>
        <row r="449">
          <cell r="A449" t="str">
            <v xml:space="preserve"> 3512021508995</v>
          </cell>
          <cell r="B449" t="str">
            <v>Опилки стали углеродистых марок незагрязненные</v>
          </cell>
        </row>
        <row r="450">
          <cell r="A450" t="str">
            <v xml:space="preserve"> 3512021611004</v>
          </cell>
          <cell r="B450" t="str">
            <v>Пыль стали углеродистых марок незагрязненная</v>
          </cell>
        </row>
        <row r="451">
          <cell r="A451" t="str">
            <v xml:space="preserve"> 3512021801995</v>
          </cell>
          <cell r="B451" t="str">
            <v>Скрап стали углеродистых марок незагрязненный</v>
          </cell>
        </row>
        <row r="452">
          <cell r="A452" t="str">
            <v xml:space="preserve"> 3512022001995</v>
          </cell>
          <cell r="B452" t="str">
            <v>Стружка стали углеродистых марок незагрязненная</v>
          </cell>
        </row>
        <row r="453">
          <cell r="A453" t="str">
            <v xml:space="preserve"> 3512030001000</v>
          </cell>
          <cell r="B453" t="str">
            <v>Лом и отходы, содержащие легированную сталь</v>
          </cell>
        </row>
        <row r="454">
          <cell r="A454" t="str">
            <v xml:space="preserve"> 3512030101995</v>
          </cell>
          <cell r="B454" t="str">
            <v>Лом легированной стали несортированный</v>
          </cell>
        </row>
        <row r="455">
          <cell r="A455" t="str">
            <v xml:space="preserve"> 3512030201995</v>
          </cell>
          <cell r="B455" t="str">
            <v>Лом легированной стали в кусковой форме незагрязненный</v>
          </cell>
        </row>
        <row r="456">
          <cell r="A456" t="str">
            <v xml:space="preserve"> 3512030313995</v>
          </cell>
          <cell r="B456" t="str">
            <v>Тара и упаковка из легированной стали незагрязненная, потерявшая потребительские свойства</v>
          </cell>
        </row>
        <row r="457">
          <cell r="A457" t="str">
            <v xml:space="preserve"> 3512031101004</v>
          </cell>
          <cell r="B457" t="str">
            <v>Оходы, содержащие легированную сталь (в том числе стальную пыль), несортированные</v>
          </cell>
        </row>
        <row r="458">
          <cell r="A458" t="str">
            <v xml:space="preserve"> 3512031201995</v>
          </cell>
          <cell r="B458" t="str">
            <v>Отходы, содержащие легированную сталь в кусковой форме</v>
          </cell>
        </row>
        <row r="459">
          <cell r="A459" t="str">
            <v xml:space="preserve"> 3512031401995</v>
          </cell>
          <cell r="B459" t="str">
            <v>Оотходы, содержащие листовой прокат легированной стали</v>
          </cell>
        </row>
        <row r="460">
          <cell r="A460" t="str">
            <v xml:space="preserve"> 3512031508995</v>
          </cell>
          <cell r="B460" t="str">
            <v>Опилки легированной стали незагрязненные</v>
          </cell>
        </row>
        <row r="461">
          <cell r="A461" t="str">
            <v xml:space="preserve"> 3512031611004</v>
          </cell>
          <cell r="B461" t="str">
            <v>Пыль легированной стали незагрязненная</v>
          </cell>
        </row>
        <row r="462">
          <cell r="A462" t="str">
            <v xml:space="preserve"> 3512031801995</v>
          </cell>
          <cell r="B462" t="str">
            <v>Скрап легированной стали незагрязненный</v>
          </cell>
        </row>
        <row r="463">
          <cell r="A463" t="str">
            <v xml:space="preserve"> 3512032001995</v>
          </cell>
          <cell r="B463" t="str">
            <v>Стружка легированной стали незагрязненная</v>
          </cell>
        </row>
        <row r="464">
          <cell r="A464" t="str">
            <v xml:space="preserve"> 3512040001000</v>
          </cell>
          <cell r="B464" t="str">
            <v>Лом и отходы, содержащие оцинкованную сталь</v>
          </cell>
        </row>
        <row r="465">
          <cell r="A465" t="str">
            <v xml:space="preserve"> 3512040101995</v>
          </cell>
          <cell r="B465" t="str">
            <v>Лом оцинкованной стали несортированный</v>
          </cell>
        </row>
        <row r="466">
          <cell r="A466" t="str">
            <v xml:space="preserve"> 3512040201995</v>
          </cell>
          <cell r="B466" t="str">
            <v>Лом оцинкованной стали в кусковой форме незагрязненный</v>
          </cell>
        </row>
        <row r="467">
          <cell r="A467" t="str">
            <v xml:space="preserve"> 3512040313995</v>
          </cell>
          <cell r="B467" t="str">
            <v>Тара и упаковка из оцинкованной стали незагрязненная, потерявшая потребительские свойства</v>
          </cell>
        </row>
        <row r="468">
          <cell r="A468" t="str">
            <v xml:space="preserve"> 3512041101004</v>
          </cell>
          <cell r="B468" t="str">
            <v>Отходы, содержащие оцинкованную сталь (в том числе стальную пыль), несортированные</v>
          </cell>
        </row>
        <row r="469">
          <cell r="A469" t="str">
            <v xml:space="preserve"> 3512041201995</v>
          </cell>
          <cell r="B469" t="str">
            <v>Отходы, содержащие оцинкованную сталь в кусковой форме</v>
          </cell>
        </row>
        <row r="470">
          <cell r="A470" t="str">
            <v xml:space="preserve"> 3512041508995</v>
          </cell>
          <cell r="B470" t="str">
            <v>Опилки оцинкованной стали незагрязненные</v>
          </cell>
        </row>
        <row r="471">
          <cell r="A471" t="str">
            <v xml:space="preserve"> 3512041611004</v>
          </cell>
          <cell r="B471" t="str">
            <v>Пыль оцинкованной стали незагрязненная</v>
          </cell>
        </row>
        <row r="472">
          <cell r="A472" t="str">
            <v xml:space="preserve"> 3512041801995</v>
          </cell>
          <cell r="B472" t="str">
            <v>Скрап оцинкованной стали незагрязненный</v>
          </cell>
        </row>
        <row r="473">
          <cell r="A473" t="str">
            <v xml:space="preserve"> 3512042001995</v>
          </cell>
          <cell r="B473" t="str">
            <v>Стружка оцинкованной стали незагрязненная</v>
          </cell>
        </row>
        <row r="474">
          <cell r="A474" t="str">
            <v xml:space="preserve"> 3512050001000</v>
          </cell>
          <cell r="B474" t="str">
            <v>Лом и отходы, содержащие луженую сталь</v>
          </cell>
        </row>
        <row r="475">
          <cell r="A475" t="str">
            <v xml:space="preserve"> 3512050101995</v>
          </cell>
          <cell r="B475" t="str">
            <v>Лом луженой стали несортированный</v>
          </cell>
        </row>
        <row r="476">
          <cell r="A476" t="str">
            <v xml:space="preserve"> 3512050201995</v>
          </cell>
          <cell r="B476" t="str">
            <v>Лом луженой стали в кусковой форме незагрязненный</v>
          </cell>
        </row>
        <row r="477">
          <cell r="A477" t="str">
            <v xml:space="preserve"> 3512050313995</v>
          </cell>
          <cell r="B477" t="str">
            <v>Тара и упаковка из луженой стали незагрязненная, потерявшая потребительские свойства</v>
          </cell>
        </row>
        <row r="478">
          <cell r="A478" t="str">
            <v xml:space="preserve"> 3512051101004</v>
          </cell>
          <cell r="B478" t="str">
            <v>Отходы, содержащие луженую сталь (в том числе стальную пыль), несортированные</v>
          </cell>
        </row>
        <row r="479">
          <cell r="A479" t="str">
            <v xml:space="preserve"> 3512051201995</v>
          </cell>
          <cell r="B479" t="str">
            <v>Отходы, содержащие луженую сталь в кусковой форме</v>
          </cell>
        </row>
        <row r="480">
          <cell r="A480" t="str">
            <v xml:space="preserve"> 3512051508995</v>
          </cell>
          <cell r="B480" t="str">
            <v>Опилки луженой стали незагрязненные</v>
          </cell>
        </row>
        <row r="481">
          <cell r="A481" t="str">
            <v xml:space="preserve"> 3512051611004</v>
          </cell>
          <cell r="B481" t="str">
            <v>Пыль луженой стали незагрязненная</v>
          </cell>
        </row>
        <row r="482">
          <cell r="A482" t="str">
            <v xml:space="preserve"> 3512051801995</v>
          </cell>
          <cell r="B482" t="str">
            <v>Скрап луженой стали незагрязненный</v>
          </cell>
        </row>
        <row r="483">
          <cell r="A483" t="str">
            <v xml:space="preserve"> 3512052001995</v>
          </cell>
          <cell r="B483" t="str">
            <v>Стружка луженой стали незагрязненная</v>
          </cell>
        </row>
        <row r="484">
          <cell r="A484" t="str">
            <v xml:space="preserve"> 3512160001000</v>
          </cell>
          <cell r="B484" t="str">
            <v>Отходы стальных электродов</v>
          </cell>
        </row>
        <row r="485">
          <cell r="A485" t="str">
            <v xml:space="preserve"> 3512160101995</v>
          </cell>
          <cell r="B485" t="str">
            <v>Остатки и огарки стальных сварочных электродов</v>
          </cell>
        </row>
        <row r="486">
          <cell r="A486" t="str">
            <v xml:space="preserve"> 3513000001000</v>
          </cell>
          <cell r="B486" t="str">
            <v>Лом и отходы, содержащие несортированные черные металлы</v>
          </cell>
        </row>
        <row r="487">
          <cell r="A487" t="str">
            <v xml:space="preserve"> 3513010001995</v>
          </cell>
          <cell r="B487" t="str">
            <v>Лом черных металлов несортированный</v>
          </cell>
        </row>
        <row r="488">
          <cell r="A488" t="str">
            <v xml:space="preserve"> 3513020001995</v>
          </cell>
          <cell r="B488" t="str">
            <v>Лом черных металлов в кусковой форме незагрязненный</v>
          </cell>
        </row>
        <row r="489">
          <cell r="A489" t="str">
            <v xml:space="preserve"> 3513030013000</v>
          </cell>
          <cell r="B489" t="str">
            <v>Тара и упаковка из черных металлов, незагрязненная, потерявшая потребительские свойства</v>
          </cell>
        </row>
        <row r="490">
          <cell r="A490" t="str">
            <v xml:space="preserve"> 3513030113995</v>
          </cell>
          <cell r="B490" t="str">
            <v>Железные бочки, потерявшие потребительские свойства</v>
          </cell>
        </row>
        <row r="491">
          <cell r="A491" t="str">
            <v xml:space="preserve"> 3513110001004</v>
          </cell>
          <cell r="B491" t="str">
            <v>Отходы, содержащие черные металлы (в том числе чугунную и/или стальную пыль), несортированные</v>
          </cell>
        </row>
        <row r="492">
          <cell r="A492" t="str">
            <v xml:space="preserve"> 3513120001995</v>
          </cell>
          <cell r="B492" t="str">
            <v>Отходы, содержащие черные металлы в кусковой форме</v>
          </cell>
        </row>
        <row r="493">
          <cell r="A493" t="str">
            <v xml:space="preserve"> 3513150008995</v>
          </cell>
          <cell r="B493" t="str">
            <v>Опилки черных металлов незагрязненные</v>
          </cell>
        </row>
        <row r="494">
          <cell r="A494" t="str">
            <v xml:space="preserve"> 3513160011004</v>
          </cell>
          <cell r="B494" t="str">
            <v>Пыль черных металлов незагрязненная</v>
          </cell>
        </row>
        <row r="495">
          <cell r="A495" t="str">
            <v xml:space="preserve"> 3513180001995</v>
          </cell>
          <cell r="B495" t="str">
            <v>Скрап черных металлов незагрязненный</v>
          </cell>
        </row>
        <row r="496">
          <cell r="A496" t="str">
            <v xml:space="preserve"> 3513200001995</v>
          </cell>
          <cell r="B496" t="str">
            <v>Стружка черных металлов незагрязненная</v>
          </cell>
        </row>
        <row r="497">
          <cell r="A497" t="str">
            <v xml:space="preserve"> 3515000001000</v>
          </cell>
          <cell r="B497" t="str">
            <v>Лом и отходы черных металлов с примесями или загрязненные опасными веществами</v>
          </cell>
        </row>
        <row r="498">
          <cell r="A498" t="str">
            <v xml:space="preserve"> 3515030001000</v>
          </cell>
          <cell r="B498" t="str">
            <v>Отходы черных металлов с примесями</v>
          </cell>
        </row>
        <row r="499">
          <cell r="A499" t="str">
            <v xml:space="preserve"> 3515030108004</v>
          </cell>
          <cell r="B499" t="str">
            <v>Металлическая дробь с примесью шлаковой корки (дробеструйная обработка)</v>
          </cell>
        </row>
        <row r="500">
          <cell r="A500" t="str">
            <v xml:space="preserve"> 3515036611004</v>
          </cell>
          <cell r="B500" t="str">
            <v>Пыль (или порошок) от шлифования черных металлов с содержанием металла 50 % и более</v>
          </cell>
        </row>
        <row r="501">
          <cell r="A501" t="str">
            <v xml:space="preserve"> 3515040001000</v>
          </cell>
          <cell r="B501" t="str">
            <v>Окалина</v>
          </cell>
        </row>
        <row r="502">
          <cell r="A502" t="str">
            <v xml:space="preserve"> 3515040201004</v>
          </cell>
          <cell r="B502" t="str">
            <v>Сростки корунда с ферросплавом в производстве шлифовальных материалов</v>
          </cell>
        </row>
        <row r="503">
          <cell r="A503" t="str">
            <v xml:space="preserve"> 3515050001995</v>
          </cell>
          <cell r="B503" t="str">
            <v>Тормозные колодки отработанные</v>
          </cell>
        </row>
        <row r="504">
          <cell r="A504" t="str">
            <v xml:space="preserve"> 3530000000000</v>
          </cell>
          <cell r="B504" t="str">
            <v>Лом и отходы цветных металлов</v>
          </cell>
        </row>
        <row r="505">
          <cell r="A505" t="str">
            <v xml:space="preserve"> 3531000001000</v>
          </cell>
          <cell r="B505" t="str">
            <v>Лом и отходы, содержащие цветные металлы</v>
          </cell>
        </row>
        <row r="506">
          <cell r="A506" t="str">
            <v xml:space="preserve"> 3531010001000</v>
          </cell>
          <cell r="B506" t="str">
            <v>Лом и отходы, содержащие алюминий</v>
          </cell>
        </row>
        <row r="507">
          <cell r="A507" t="str">
            <v xml:space="preserve"> 3531010101995</v>
          </cell>
          <cell r="B507" t="str">
            <v>Лом алюминия несортированный</v>
          </cell>
        </row>
        <row r="508">
          <cell r="A508" t="str">
            <v xml:space="preserve"> 3531010201995</v>
          </cell>
          <cell r="B508" t="str">
            <v>Лом алюминия в кусковой форме незагрязненный</v>
          </cell>
        </row>
        <row r="509">
          <cell r="A509" t="str">
            <v xml:space="preserve"> 3531010313995</v>
          </cell>
          <cell r="B509" t="str">
            <v>Тара и упаковка из алюминия незагрязненная, потерявшая потребительские свойства и брак</v>
          </cell>
        </row>
        <row r="510">
          <cell r="A510" t="str">
            <v xml:space="preserve"> 3531010501995</v>
          </cell>
          <cell r="B510" t="str">
            <v>Провод алюминиевый незагрязненный, потерявший потребительские свойства</v>
          </cell>
        </row>
        <row r="511">
          <cell r="A511" t="str">
            <v xml:space="preserve"> 3531011101004</v>
          </cell>
          <cell r="B511" t="str">
            <v>Отходы, содержащие алюминий (в том числе алюминиевую пыль), несортированные</v>
          </cell>
        </row>
        <row r="512">
          <cell r="A512" t="str">
            <v xml:space="preserve"> 3531011201995</v>
          </cell>
          <cell r="B512" t="str">
            <v>Отходы, содержащие алюминий в кусковой форме</v>
          </cell>
        </row>
        <row r="513">
          <cell r="A513" t="str">
            <v xml:space="preserve"> 3531011301995</v>
          </cell>
          <cell r="B513" t="str">
            <v>Отходы, содержащие алюминиевую фольгу</v>
          </cell>
        </row>
        <row r="514">
          <cell r="A514" t="str">
            <v xml:space="preserve"> 3531011401995</v>
          </cell>
          <cell r="B514" t="str">
            <v>Отходы, содержащие листовой прокат алюминия</v>
          </cell>
        </row>
        <row r="515">
          <cell r="A515" t="str">
            <v xml:space="preserve"> 3531011508995</v>
          </cell>
          <cell r="B515" t="str">
            <v>Опилки алюминиевые незагрязненные</v>
          </cell>
        </row>
        <row r="516">
          <cell r="A516" t="str">
            <v xml:space="preserve"> 3531011611004</v>
          </cell>
          <cell r="B516" t="str">
            <v>Пыль алюминиевая незагрязненная</v>
          </cell>
        </row>
        <row r="517">
          <cell r="A517" t="str">
            <v xml:space="preserve"> 3531011801995</v>
          </cell>
          <cell r="B517" t="str">
            <v>Скрап алюминиевый незагрязненный</v>
          </cell>
        </row>
        <row r="518">
          <cell r="A518" t="str">
            <v xml:space="preserve"> 3531012001995</v>
          </cell>
          <cell r="B518" t="str">
            <v>Стружка алюминиевая незагрязненная</v>
          </cell>
        </row>
        <row r="519">
          <cell r="A519" t="str">
            <v xml:space="preserve"> 3531020001010</v>
          </cell>
          <cell r="B519" t="str">
            <v>Лом и отходы, содержащие свинец</v>
          </cell>
        </row>
        <row r="520">
          <cell r="A520" t="str">
            <v xml:space="preserve"> 3531020101013</v>
          </cell>
          <cell r="B520" t="str">
            <v>Лом свинца несортированный</v>
          </cell>
        </row>
        <row r="521">
          <cell r="A521" t="str">
            <v xml:space="preserve"> 3531020201013</v>
          </cell>
          <cell r="B521" t="str">
            <v>Лом свинца в кусковой форме незагрязненный</v>
          </cell>
        </row>
        <row r="522">
          <cell r="A522" t="str">
            <v xml:space="preserve"> 3531021101012</v>
          </cell>
          <cell r="B522" t="str">
            <v>Отходы, содержащие свинец (в том числе пыль и/или опилки свинца), несортированные</v>
          </cell>
        </row>
        <row r="523">
          <cell r="A523" t="str">
            <v xml:space="preserve"> 3531021201013</v>
          </cell>
          <cell r="B523" t="str">
            <v>Отходы, содержащие свинец в кусковой форме</v>
          </cell>
        </row>
        <row r="524">
          <cell r="A524" t="str">
            <v xml:space="preserve"> 3531021508012</v>
          </cell>
          <cell r="B524" t="str">
            <v>Опилки свинцовые незагрязненные</v>
          </cell>
        </row>
        <row r="525">
          <cell r="A525" t="str">
            <v xml:space="preserve"> 3531021611012</v>
          </cell>
          <cell r="B525" t="str">
            <v>Пыль (порошок) свинца незагрязненная</v>
          </cell>
        </row>
        <row r="526">
          <cell r="A526" t="str">
            <v xml:space="preserve"> 3531021801013</v>
          </cell>
          <cell r="B526" t="str">
            <v>Скрап свинцовый незагрязненный</v>
          </cell>
        </row>
        <row r="527">
          <cell r="A527" t="str">
            <v xml:space="preserve"> 3531022001013</v>
          </cell>
          <cell r="B527" t="str">
            <v>Стружка свинцовая незагрязненная</v>
          </cell>
        </row>
        <row r="528">
          <cell r="A528" t="str">
            <v xml:space="preserve"> 3531023101013</v>
          </cell>
          <cell r="B528" t="str">
            <v>Свинцовые пластины отработанных аккумуляторов</v>
          </cell>
        </row>
        <row r="529">
          <cell r="A529" t="str">
            <v xml:space="preserve"> 3531030001010</v>
          </cell>
          <cell r="B529" t="str">
            <v>Лом и отходы, содержащие медь</v>
          </cell>
        </row>
        <row r="530">
          <cell r="A530" t="str">
            <v xml:space="preserve"> 3531030101013</v>
          </cell>
          <cell r="B530" t="str">
            <v>Лом меди несортированный</v>
          </cell>
        </row>
        <row r="531">
          <cell r="A531" t="str">
            <v xml:space="preserve"> 3531030201013</v>
          </cell>
          <cell r="B531" t="str">
            <v>Лом меди в кусковой форме незагрязненный</v>
          </cell>
        </row>
        <row r="532">
          <cell r="A532" t="str">
            <v xml:space="preserve"> 3531030501013</v>
          </cell>
          <cell r="B532" t="str">
            <v>Провод медный незагрязненный, потерявший потребительские свойства</v>
          </cell>
        </row>
        <row r="533">
          <cell r="A533" t="str">
            <v xml:space="preserve"> 3531031101013</v>
          </cell>
          <cell r="B533" t="str">
            <v>Отходы, содержащие медь, несортированные</v>
          </cell>
        </row>
        <row r="534">
          <cell r="A534" t="str">
            <v xml:space="preserve"> 3531031201013</v>
          </cell>
          <cell r="B534" t="str">
            <v>Отходы, содержащие медь в кусковой форме</v>
          </cell>
        </row>
        <row r="535">
          <cell r="A535" t="str">
            <v xml:space="preserve"> 3531031401013</v>
          </cell>
          <cell r="B535" t="str">
            <v>Отходы, содержащие листовой прокат меди</v>
          </cell>
        </row>
        <row r="536">
          <cell r="A536" t="str">
            <v xml:space="preserve"> 3531031508013</v>
          </cell>
          <cell r="B536" t="str">
            <v>Опилки медные незагрязненные</v>
          </cell>
        </row>
        <row r="537">
          <cell r="A537" t="str">
            <v xml:space="preserve"> 3531031801013</v>
          </cell>
          <cell r="B537" t="str">
            <v>Скрап медный незагрязненный</v>
          </cell>
        </row>
        <row r="538">
          <cell r="A538" t="str">
            <v xml:space="preserve"> 3531032001013</v>
          </cell>
          <cell r="B538" t="str">
            <v>Стружка медная незагрязненная</v>
          </cell>
        </row>
        <row r="539">
          <cell r="A539" t="str">
            <v xml:space="preserve"> 3531040001010</v>
          </cell>
          <cell r="B539" t="str">
            <v>Лом и отходы, содержащие цинк</v>
          </cell>
        </row>
        <row r="540">
          <cell r="A540" t="str">
            <v xml:space="preserve"> 3531040101013</v>
          </cell>
          <cell r="B540" t="str">
            <v>Лом цинка несортированный</v>
          </cell>
        </row>
        <row r="541">
          <cell r="A541" t="str">
            <v xml:space="preserve"> 3531040201013</v>
          </cell>
          <cell r="B541" t="str">
            <v>Лом цинка в кусковой форме незагрязненный</v>
          </cell>
        </row>
        <row r="542">
          <cell r="A542" t="str">
            <v xml:space="preserve"> 3531041101013</v>
          </cell>
          <cell r="B542" t="str">
            <v>Отходы, содержащие цинк, несортированные</v>
          </cell>
        </row>
        <row r="543">
          <cell r="A543" t="str">
            <v xml:space="preserve"> 3531041201013</v>
          </cell>
          <cell r="B543" t="str">
            <v>Отходы, содержащие цинк в кусковой форме</v>
          </cell>
        </row>
        <row r="544">
          <cell r="A544" t="str">
            <v xml:space="preserve"> 3531041401013</v>
          </cell>
          <cell r="B544" t="str">
            <v>Отходы, содержащие листовой прокат цинка</v>
          </cell>
        </row>
        <row r="545">
          <cell r="A545" t="str">
            <v xml:space="preserve"> 3531041508013</v>
          </cell>
          <cell r="B545" t="str">
            <v>Опилки цинковые незагрязненные</v>
          </cell>
        </row>
        <row r="546">
          <cell r="A546" t="str">
            <v xml:space="preserve"> 3531041801013</v>
          </cell>
          <cell r="B546" t="str">
            <v>Скрап цинковый незагрязненный</v>
          </cell>
        </row>
        <row r="547">
          <cell r="A547" t="str">
            <v xml:space="preserve"> 3531042001015</v>
          </cell>
          <cell r="B547" t="str">
            <v>Стружка цинка незагрязненная</v>
          </cell>
        </row>
        <row r="548">
          <cell r="A548" t="str">
            <v xml:space="preserve"> 3531070002011</v>
          </cell>
          <cell r="B548" t="str">
            <v>Отходы, содержащие ртуть</v>
          </cell>
        </row>
        <row r="549">
          <cell r="A549" t="str">
            <v xml:space="preserve"> 3531100001010</v>
          </cell>
          <cell r="B549" t="str">
            <v>Лом и отходы, содержащие никель</v>
          </cell>
        </row>
        <row r="550">
          <cell r="A550" t="str">
            <v xml:space="preserve"> 3531100101014</v>
          </cell>
          <cell r="B550" t="str">
            <v>Лом никеля несортированный</v>
          </cell>
        </row>
        <row r="551">
          <cell r="A551" t="str">
            <v xml:space="preserve"> 3531100201014</v>
          </cell>
          <cell r="B551" t="str">
            <v>Лом никеля в кусковой форме незагрязненный</v>
          </cell>
        </row>
        <row r="552">
          <cell r="A552" t="str">
            <v xml:space="preserve"> 3531101101013</v>
          </cell>
          <cell r="B552" t="str">
            <v>Отходы, содержащие никель (в том числе пыль и/или опилки никеля), несортированные</v>
          </cell>
        </row>
        <row r="553">
          <cell r="A553" t="str">
            <v xml:space="preserve"> 3531101201014</v>
          </cell>
          <cell r="B553" t="str">
            <v>Отходы, содержащие никель в кусковой форме</v>
          </cell>
        </row>
        <row r="554">
          <cell r="A554" t="str">
            <v xml:space="preserve"> 3531101508013</v>
          </cell>
          <cell r="B554" t="str">
            <v>Опилки никеля незагрязненные</v>
          </cell>
        </row>
        <row r="555">
          <cell r="A555" t="str">
            <v xml:space="preserve"> 3531101611013</v>
          </cell>
          <cell r="B555" t="str">
            <v>Пыль никеля незагрязненная</v>
          </cell>
        </row>
        <row r="556">
          <cell r="A556" t="str">
            <v xml:space="preserve"> 3531101801014</v>
          </cell>
          <cell r="B556" t="str">
            <v>Скрап никеля незагрязненный</v>
          </cell>
        </row>
        <row r="557">
          <cell r="A557" t="str">
            <v xml:space="preserve"> 3531102001014</v>
          </cell>
          <cell r="B557" t="str">
            <v>Стружка никеля незагрязненная</v>
          </cell>
        </row>
        <row r="558">
          <cell r="A558" t="str">
            <v xml:space="preserve"> 3531110001000</v>
          </cell>
          <cell r="B558" t="str">
            <v>Лом и отходы, содержащие олово</v>
          </cell>
        </row>
        <row r="559">
          <cell r="A559" t="str">
            <v xml:space="preserve"> 3531110101004</v>
          </cell>
          <cell r="B559" t="str">
            <v>Лом олова несортированный</v>
          </cell>
        </row>
        <row r="560">
          <cell r="A560" t="str">
            <v xml:space="preserve"> 3531110201004</v>
          </cell>
          <cell r="B560" t="str">
            <v>Лом олова в кусковой форме незагрязненный</v>
          </cell>
        </row>
        <row r="561">
          <cell r="A561" t="str">
            <v xml:space="preserve"> 3531110313004</v>
          </cell>
          <cell r="B561" t="str">
            <v>Тара и упаковка из олова незагрязненная, потерявшая потребительские свойства и брак</v>
          </cell>
        </row>
        <row r="562">
          <cell r="A562" t="str">
            <v xml:space="preserve"> 3531111101004</v>
          </cell>
          <cell r="B562" t="str">
            <v>Отходы, содержащие олово, несортированные</v>
          </cell>
        </row>
        <row r="563">
          <cell r="A563" t="str">
            <v xml:space="preserve"> 3531111201004</v>
          </cell>
          <cell r="B563" t="str">
            <v>Отходы, содержащие олово в кусковой форме</v>
          </cell>
        </row>
        <row r="564">
          <cell r="A564" t="str">
            <v xml:space="preserve"> 3531111401004</v>
          </cell>
          <cell r="B564" t="str">
            <v>Отходы, содержащие листовой прокат олова</v>
          </cell>
        </row>
        <row r="565">
          <cell r="A565" t="str">
            <v xml:space="preserve"> 3531111508004</v>
          </cell>
          <cell r="B565" t="str">
            <v>Опилки оловянные незагрязненные</v>
          </cell>
        </row>
        <row r="566">
          <cell r="A566" t="str">
            <v xml:space="preserve"> 3531111611004</v>
          </cell>
          <cell r="B566" t="str">
            <v>Пыль оловянная незагрязненная</v>
          </cell>
        </row>
        <row r="567">
          <cell r="A567" t="str">
            <v xml:space="preserve"> 3531111801004</v>
          </cell>
          <cell r="B567" t="str">
            <v>Скрап оловянный незагрязненный</v>
          </cell>
        </row>
        <row r="568">
          <cell r="A568" t="str">
            <v xml:space="preserve"> 3531112001004</v>
          </cell>
          <cell r="B568" t="str">
            <v>Стружка оловянная незагрязненная</v>
          </cell>
        </row>
        <row r="569">
          <cell r="A569" t="str">
            <v xml:space="preserve"> 3531170001000</v>
          </cell>
          <cell r="B569" t="str">
            <v>Лом и отходы, содержащие титан</v>
          </cell>
        </row>
        <row r="570">
          <cell r="A570" t="str">
            <v xml:space="preserve"> 3531170201995</v>
          </cell>
          <cell r="B570" t="str">
            <v>Лом титана в кусковой форме незагрязненный</v>
          </cell>
        </row>
        <row r="571">
          <cell r="A571" t="str">
            <v xml:space="preserve"> 3531171101004</v>
          </cell>
          <cell r="B571" t="str">
            <v>Отходы, содержащие титан (в том числе титановую пыль), несортированные</v>
          </cell>
        </row>
        <row r="572">
          <cell r="A572" t="str">
            <v xml:space="preserve"> 3531171201995</v>
          </cell>
          <cell r="B572" t="str">
            <v>Отходы, содержащие титан в кусковой форме</v>
          </cell>
        </row>
        <row r="573">
          <cell r="A573" t="str">
            <v xml:space="preserve"> 3531171508995</v>
          </cell>
          <cell r="B573" t="str">
            <v>Опилки титана незагрязненные</v>
          </cell>
        </row>
        <row r="574">
          <cell r="A574" t="str">
            <v xml:space="preserve"> 3531171611004</v>
          </cell>
          <cell r="B574" t="str">
            <v>Пыль титана незагрязненная</v>
          </cell>
        </row>
        <row r="575">
          <cell r="A575" t="str">
            <v xml:space="preserve"> 3531171801995</v>
          </cell>
          <cell r="B575" t="str">
            <v>Скрап титана незагрязненный</v>
          </cell>
        </row>
        <row r="576">
          <cell r="A576" t="str">
            <v xml:space="preserve"> 3531172001995</v>
          </cell>
          <cell r="B576" t="str">
            <v>Стружка титана незагрязненная</v>
          </cell>
        </row>
        <row r="577">
          <cell r="A577" t="str">
            <v xml:space="preserve"> 3531190001013</v>
          </cell>
          <cell r="B577" t="str">
            <v>Лом и отходы, содержащие хром</v>
          </cell>
        </row>
        <row r="578">
          <cell r="A578" t="str">
            <v xml:space="preserve"> 3531191101013</v>
          </cell>
          <cell r="B578" t="str">
            <v>Отходы, содержащие хром, несортированные</v>
          </cell>
        </row>
        <row r="579">
          <cell r="A579" t="str">
            <v xml:space="preserve"> 3531191201013</v>
          </cell>
          <cell r="B579" t="str">
            <v>Отходы, содержащие хром в кусковой форме</v>
          </cell>
        </row>
        <row r="580">
          <cell r="A580" t="str">
            <v xml:space="preserve"> 3531191508013</v>
          </cell>
          <cell r="B580" t="str">
            <v>Опилки хрома незагрязненные</v>
          </cell>
        </row>
        <row r="581">
          <cell r="A581" t="str">
            <v xml:space="preserve"> 3531191611013</v>
          </cell>
          <cell r="B581" t="str">
            <v>Пыль хрома незагрязненная</v>
          </cell>
        </row>
        <row r="582">
          <cell r="A582" t="str">
            <v xml:space="preserve"> 3531191801013</v>
          </cell>
          <cell r="B582" t="str">
            <v>Скрап хрома незагрязненный</v>
          </cell>
        </row>
        <row r="583">
          <cell r="A583" t="str">
            <v xml:space="preserve"> 3531192001013</v>
          </cell>
          <cell r="B583" t="str">
            <v>Стружка хрома незагрязненная</v>
          </cell>
        </row>
        <row r="584">
          <cell r="A584" t="str">
            <v xml:space="preserve"> 3533000013001</v>
          </cell>
          <cell r="B584" t="str">
            <v>Изделия, устройства, приборы, потерявшие потребительские свойства, содержащие ртуть</v>
          </cell>
        </row>
        <row r="585">
          <cell r="A585" t="str">
            <v xml:space="preserve"> 3533010013011</v>
          </cell>
          <cell r="B585" t="str">
            <v>Ртутные лампы, люминесцентные ртутьсодержащие трубки отработанные и брак</v>
          </cell>
        </row>
        <row r="586">
          <cell r="A586" t="str">
            <v xml:space="preserve"> 3533020013011</v>
          </cell>
          <cell r="B586" t="str">
            <v>Ртутные вентили (игнитроны и иное) отработанные и брак</v>
          </cell>
        </row>
        <row r="587">
          <cell r="A587" t="str">
            <v xml:space="preserve"> 3533030013011</v>
          </cell>
          <cell r="B587" t="str">
            <v>Ртутные термометры отработанные и брак</v>
          </cell>
        </row>
        <row r="588">
          <cell r="A588" t="str">
            <v xml:space="preserve"> 3535000001000</v>
          </cell>
          <cell r="B588" t="str">
            <v>Лом и отходы цветных металлов с примесями или загрязненные</v>
          </cell>
        </row>
        <row r="589">
          <cell r="A589" t="str">
            <v xml:space="preserve"> 3535010001000</v>
          </cell>
          <cell r="B589" t="str">
            <v>Лом и отходы алюминия с примесями или загрязненные</v>
          </cell>
        </row>
        <row r="590">
          <cell r="A590" t="str">
            <v xml:space="preserve"> 3535010313034</v>
          </cell>
          <cell r="B590" t="str">
            <v>Тара и упаковка из алюминия, загрязненная горюче-смазочными материалами (содержание горюче-смазочных материалов- менее 15% по весу)</v>
          </cell>
        </row>
        <row r="591">
          <cell r="A591" t="str">
            <v xml:space="preserve"> 3535011611004</v>
          </cell>
          <cell r="B591" t="str">
            <v>Пыль (или порошок) от шлифования алюминия с содержанием металла 50 % и более</v>
          </cell>
        </row>
        <row r="592">
          <cell r="A592" t="str">
            <v xml:space="preserve"> 3535020001000</v>
          </cell>
          <cell r="B592" t="str">
            <v>Лом и отходы свинца с примесями или загрязненные</v>
          </cell>
        </row>
        <row r="593">
          <cell r="A593" t="str">
            <v xml:space="preserve"> 3535021611012</v>
          </cell>
          <cell r="B593" t="str">
            <v>Пыль (порошок) от шлифования свинца с содержанием металла 50 % и более</v>
          </cell>
        </row>
        <row r="594">
          <cell r="A594" t="str">
            <v xml:space="preserve"> 3535030001000</v>
          </cell>
          <cell r="B594" t="str">
            <v>Лом и отходы меди с примесями или загрязненные</v>
          </cell>
        </row>
        <row r="595">
          <cell r="A595" t="str">
            <v xml:space="preserve"> 3535031611013</v>
          </cell>
          <cell r="B595" t="str">
            <v>Пыль (порошок) от шлифования меди с содержанием металла 50 % и более</v>
          </cell>
        </row>
        <row r="596">
          <cell r="A596" t="str">
            <v xml:space="preserve"> 3535040001000</v>
          </cell>
          <cell r="B596" t="str">
            <v>Лом и отходы цинка с примесями или загрязненные</v>
          </cell>
        </row>
        <row r="597">
          <cell r="A597" t="str">
            <v xml:space="preserve"> 3535041611013</v>
          </cell>
          <cell r="B597" t="str">
            <v>Пыль (порошок) от шлифования цинка с содержанием металла 50 % и более</v>
          </cell>
        </row>
        <row r="598">
          <cell r="A598" t="str">
            <v xml:space="preserve"> 3535100001000</v>
          </cell>
          <cell r="B598" t="str">
            <v>Лом и отходы никеля с примесями или загрязненные</v>
          </cell>
        </row>
        <row r="599">
          <cell r="A599" t="str">
            <v xml:space="preserve"> 3535101611013</v>
          </cell>
          <cell r="B599" t="str">
            <v>Пыль (порошок) от шлифования никеля с содержанием металла 50 % и более</v>
          </cell>
        </row>
        <row r="600">
          <cell r="A600" t="str">
            <v xml:space="preserve"> 3535110001000</v>
          </cell>
          <cell r="B600" t="str">
            <v>Лом и отходы олова с примесями или загрязненные</v>
          </cell>
        </row>
        <row r="601">
          <cell r="A601" t="str">
            <v xml:space="preserve"> 3535111611004</v>
          </cell>
          <cell r="B601" t="str">
            <v>Пыль (порошок) от шлифования олова с содержанием металла 50 % и более</v>
          </cell>
        </row>
        <row r="602">
          <cell r="A602" t="str">
            <v xml:space="preserve"> 3535170001000</v>
          </cell>
          <cell r="B602" t="str">
            <v>Лом и отходы титана с примесями или загрязненные</v>
          </cell>
        </row>
        <row r="603">
          <cell r="A603" t="str">
            <v xml:space="preserve"> 3535171611004</v>
          </cell>
          <cell r="B603" t="str">
            <v>Пыль (порошок) от шлифования титана с содержанием металла 50 % и более</v>
          </cell>
        </row>
        <row r="604">
          <cell r="A604" t="str">
            <v xml:space="preserve"> 3535190001000</v>
          </cell>
          <cell r="B604" t="str">
            <v>Лом и отходы хрома с примесями или загрязненные</v>
          </cell>
        </row>
        <row r="605">
          <cell r="A605" t="str">
            <v xml:space="preserve"> 3535191611013</v>
          </cell>
          <cell r="B605" t="str">
            <v>Пыль (порошок) от шлифования хрома с содержанием металла 50 % и более</v>
          </cell>
        </row>
        <row r="606">
          <cell r="A606" t="str">
            <v xml:space="preserve"> 3540000000000</v>
          </cell>
          <cell r="B606" t="str">
            <v>Лом и отходы сплавов цветных металлов</v>
          </cell>
        </row>
        <row r="607">
          <cell r="A607" t="str">
            <v xml:space="preserve"> 3541000001000</v>
          </cell>
          <cell r="B607" t="str">
            <v>Лом и отходы, содержащие сплавы цветных металлов</v>
          </cell>
        </row>
        <row r="608">
          <cell r="A608" t="str">
            <v xml:space="preserve"> 3541010001000</v>
          </cell>
          <cell r="B608" t="str">
            <v>Лом и отходы, содержащие медные сплавы</v>
          </cell>
        </row>
        <row r="609">
          <cell r="A609" t="str">
            <v xml:space="preserve"> 3541010101995</v>
          </cell>
          <cell r="B609" t="str">
            <v>Лом медных сплавов несортированный</v>
          </cell>
        </row>
        <row r="610">
          <cell r="A610" t="str">
            <v xml:space="preserve"> 3541010201995</v>
          </cell>
          <cell r="B610" t="str">
            <v>Лом медных сплавов в кусковой форме</v>
          </cell>
        </row>
        <row r="611">
          <cell r="A611" t="str">
            <v xml:space="preserve"> 3541011101004</v>
          </cell>
          <cell r="B611" t="str">
            <v>Отходы, содержащие медные сплавы (в том числе пыль медных сплавов), несортированные</v>
          </cell>
        </row>
        <row r="612">
          <cell r="A612" t="str">
            <v xml:space="preserve"> 3541011201995</v>
          </cell>
          <cell r="B612" t="str">
            <v>Отходы, содержащие медные сплавы в кусковой форме</v>
          </cell>
        </row>
        <row r="613">
          <cell r="A613" t="str">
            <v xml:space="preserve"> 3541011401995</v>
          </cell>
          <cell r="B613" t="str">
            <v>Отходы, содержащие листовой прокат медных сплавов</v>
          </cell>
        </row>
        <row r="614">
          <cell r="A614" t="str">
            <v xml:space="preserve"> 3541011508995</v>
          </cell>
          <cell r="B614" t="str">
            <v>Опилки медных сплавов незагрязненные</v>
          </cell>
        </row>
        <row r="615">
          <cell r="A615" t="str">
            <v xml:space="preserve"> 3541011611004</v>
          </cell>
          <cell r="B615" t="str">
            <v>Пыль медных сплавов незагрязненная</v>
          </cell>
        </row>
        <row r="616">
          <cell r="A616" t="str">
            <v xml:space="preserve"> 3541011801995</v>
          </cell>
          <cell r="B616" t="str">
            <v>Скрап медных сплавов незагрязненный</v>
          </cell>
        </row>
        <row r="617">
          <cell r="A617" t="str">
            <v xml:space="preserve"> 3541012001995</v>
          </cell>
          <cell r="B617" t="str">
            <v>Стружка медных сплавов незагрязненная</v>
          </cell>
        </row>
        <row r="618">
          <cell r="A618" t="str">
            <v xml:space="preserve"> 3541020001000</v>
          </cell>
          <cell r="B618" t="str">
            <v>Лом и отходы, содержащие бронзу</v>
          </cell>
        </row>
        <row r="619">
          <cell r="A619" t="str">
            <v xml:space="preserve"> 3541020101995</v>
          </cell>
          <cell r="B619" t="str">
            <v>Лом бронзы несортированный</v>
          </cell>
        </row>
        <row r="620">
          <cell r="A620" t="str">
            <v xml:space="preserve"> 3541020201995</v>
          </cell>
          <cell r="B620" t="str">
            <v>Лом бронзы в кусковой форме</v>
          </cell>
        </row>
        <row r="621">
          <cell r="A621" t="str">
            <v xml:space="preserve"> 3541021101004</v>
          </cell>
          <cell r="B621" t="str">
            <v>Отходы, содержащие бронзу (в том числе пыль бронзы), несортированные</v>
          </cell>
        </row>
        <row r="622">
          <cell r="A622" t="str">
            <v xml:space="preserve"> 3541021201995</v>
          </cell>
          <cell r="B622" t="str">
            <v>Отходы, содержащие бронзу в кусковой форме</v>
          </cell>
        </row>
        <row r="623">
          <cell r="A623" t="str">
            <v xml:space="preserve"> 3541021401995</v>
          </cell>
          <cell r="B623" t="str">
            <v>Отходы, содержащие листовой прокат бронзы</v>
          </cell>
        </row>
        <row r="624">
          <cell r="A624" t="str">
            <v xml:space="preserve"> 3541021508995</v>
          </cell>
          <cell r="B624" t="str">
            <v>Опилки бронзы незагрязненные</v>
          </cell>
        </row>
        <row r="625">
          <cell r="A625" t="str">
            <v xml:space="preserve"> 3541021611004</v>
          </cell>
          <cell r="B625" t="str">
            <v>Пыль бронзы незагрязненная</v>
          </cell>
        </row>
        <row r="626">
          <cell r="A626" t="str">
            <v xml:space="preserve"> 3541021801995</v>
          </cell>
          <cell r="B626" t="str">
            <v>Скрап бронзы незагрязненный</v>
          </cell>
        </row>
        <row r="627">
          <cell r="A627" t="str">
            <v xml:space="preserve"> 3541022001995</v>
          </cell>
          <cell r="B627" t="str">
            <v>Стружка бронзы незагрязненная</v>
          </cell>
        </row>
        <row r="628">
          <cell r="A628" t="str">
            <v xml:space="preserve"> 3541030001000</v>
          </cell>
          <cell r="B628" t="str">
            <v>Лом и отходы, содержащие латунь</v>
          </cell>
        </row>
        <row r="629">
          <cell r="A629" t="str">
            <v xml:space="preserve"> 3541030101995</v>
          </cell>
          <cell r="B629" t="str">
            <v>Лом латуни несортированный</v>
          </cell>
        </row>
        <row r="630">
          <cell r="A630" t="str">
            <v xml:space="preserve"> 3541030201995</v>
          </cell>
          <cell r="B630" t="str">
            <v>Лом латуни в кусковой форме</v>
          </cell>
        </row>
        <row r="631">
          <cell r="A631" t="str">
            <v xml:space="preserve"> 3541031101004</v>
          </cell>
          <cell r="B631" t="str">
            <v>Отходы, содержащие латунь (в том числе пыль латуни), несортированные</v>
          </cell>
        </row>
        <row r="632">
          <cell r="A632" t="str">
            <v xml:space="preserve"> 3541031201995</v>
          </cell>
          <cell r="B632" t="str">
            <v>Отходы, содержащие латунь в кусковой форме</v>
          </cell>
        </row>
        <row r="633">
          <cell r="A633" t="str">
            <v xml:space="preserve"> 3541031401995</v>
          </cell>
          <cell r="B633" t="str">
            <v>Отходы, содержащие листовой прокат латуни</v>
          </cell>
        </row>
        <row r="634">
          <cell r="A634" t="str">
            <v xml:space="preserve"> 3541031508995</v>
          </cell>
          <cell r="B634" t="str">
            <v>Опилки латуни незагрязненные</v>
          </cell>
        </row>
        <row r="635">
          <cell r="A635" t="str">
            <v xml:space="preserve"> 3541031611004</v>
          </cell>
          <cell r="B635" t="str">
            <v>Пыль латуни незагрязненная</v>
          </cell>
        </row>
        <row r="636">
          <cell r="A636" t="str">
            <v xml:space="preserve"> 3541031801995</v>
          </cell>
          <cell r="B636" t="str">
            <v>Скрап латуни незагрязненный</v>
          </cell>
        </row>
        <row r="637">
          <cell r="A637" t="str">
            <v xml:space="preserve"> 3541032001995</v>
          </cell>
          <cell r="B637" t="str">
            <v>Стружка латуни незагрязненная</v>
          </cell>
        </row>
        <row r="638">
          <cell r="A638" t="str">
            <v xml:space="preserve"> 3546000001000</v>
          </cell>
          <cell r="B638" t="str">
            <v>Лом и отходы сплавов цветных металлов с примесями или загрязненные</v>
          </cell>
        </row>
        <row r="639">
          <cell r="A639" t="str">
            <v xml:space="preserve"> 3546010001000</v>
          </cell>
          <cell r="B639" t="str">
            <v>Лом и отходы медных сплавов с примесями или загрязненные</v>
          </cell>
        </row>
        <row r="640">
          <cell r="A640" t="str">
            <v xml:space="preserve"> 3546011611004</v>
          </cell>
          <cell r="B640" t="str">
            <v>Пыль (порошок) от шлифования медных сплавов с содержанием металла 50 % и более</v>
          </cell>
        </row>
        <row r="641">
          <cell r="A641" t="str">
            <v xml:space="preserve"> 3546020001000</v>
          </cell>
          <cell r="B641" t="str">
            <v>Лом и отходы бронзы с примесями или загрязненные</v>
          </cell>
        </row>
        <row r="642">
          <cell r="A642" t="str">
            <v xml:space="preserve"> 3546021611004</v>
          </cell>
          <cell r="B642" t="str">
            <v>Пыль (порошок) от шлифования бронзы с содержанием металла 50 % и более</v>
          </cell>
        </row>
        <row r="643">
          <cell r="A643" t="str">
            <v xml:space="preserve"> 3546030001000</v>
          </cell>
          <cell r="B643" t="str">
            <v>Лом и отходы латуни с примесями или загрязненные</v>
          </cell>
        </row>
        <row r="644">
          <cell r="A644" t="str">
            <v xml:space="preserve"> 3546031611004</v>
          </cell>
          <cell r="B644" t="str">
            <v>Пыль (порошок) от шлифования латуни с содержанием металла 50 % и более</v>
          </cell>
        </row>
        <row r="645">
          <cell r="A645" t="str">
            <v xml:space="preserve"> 3550000000000</v>
          </cell>
          <cell r="B645" t="str">
            <v>Лом и отходы цветных металлов и сплавов несортированный</v>
          </cell>
        </row>
        <row r="646">
          <cell r="A646" t="str">
            <v xml:space="preserve"> 3570000000000</v>
          </cell>
          <cell r="B646" t="str">
            <v>Металлические шламы</v>
          </cell>
        </row>
        <row r="647">
          <cell r="A647" t="str">
            <v xml:space="preserve"> 3900000000000</v>
          </cell>
          <cell r="B647" t="str">
            <v>Другие отходы минерального происхождения</v>
          </cell>
        </row>
        <row r="648">
          <cell r="A648" t="str">
            <v xml:space="preserve"> 3990000000000</v>
          </cell>
          <cell r="B648" t="str">
            <v>Другие отходы минерального происхождения , а так же отходы рафинирования продуктов</v>
          </cell>
        </row>
        <row r="649">
          <cell r="A649" t="str">
            <v xml:space="preserve"> 5000000000000</v>
          </cell>
          <cell r="B649" t="str">
            <v>Отходы химического происхождения</v>
          </cell>
        </row>
        <row r="650">
          <cell r="A650" t="str">
            <v xml:space="preserve"> 5100000000000</v>
          </cell>
          <cell r="B650" t="str">
            <v>Отходы оксидов, гидроксидов, солей</v>
          </cell>
        </row>
        <row r="651">
          <cell r="A651" t="str">
            <v xml:space="preserve"> 5110000000000</v>
          </cell>
          <cell r="B651" t="str">
            <v>Гальванические шламы</v>
          </cell>
        </row>
        <row r="652">
          <cell r="A652" t="str">
            <v xml:space="preserve"> 5130000000000</v>
          </cell>
          <cell r="B652" t="str">
            <v>Отходы оксидов и гидрооксидов</v>
          </cell>
        </row>
        <row r="653">
          <cell r="A653" t="str">
            <v xml:space="preserve"> 5130060000011</v>
          </cell>
          <cell r="B653" t="str">
            <v>Отходы оксида хрома шестивалентного</v>
          </cell>
        </row>
        <row r="654">
          <cell r="A654" t="str">
            <v xml:space="preserve"> 5130110000011</v>
          </cell>
          <cell r="B654" t="str">
            <v>Отходы оксидов ванадия</v>
          </cell>
        </row>
        <row r="655">
          <cell r="A655" t="str">
            <v xml:space="preserve"> 5150000000000</v>
          </cell>
          <cell r="B655" t="str">
            <v>Отходы солей</v>
          </cell>
        </row>
        <row r="656">
          <cell r="A656" t="str">
            <v xml:space="preserve"> 5150080000000</v>
          </cell>
          <cell r="B656" t="str">
            <v>Отходы поташа</v>
          </cell>
        </row>
        <row r="657">
          <cell r="A657" t="str">
            <v xml:space="preserve"> 5150080101004</v>
          </cell>
          <cell r="B657" t="str">
            <v>Отходы поташа в твердом виде</v>
          </cell>
        </row>
        <row r="658">
          <cell r="A658" t="str">
            <v xml:space="preserve"> 5150210000010</v>
          </cell>
          <cell r="B658" t="str">
            <v>Отходы солей свинца</v>
          </cell>
        </row>
        <row r="659">
          <cell r="A659" t="str">
            <v xml:space="preserve"> 5150210101012</v>
          </cell>
          <cell r="B659" t="str">
            <v>Отходы солей свинца в твердом виде</v>
          </cell>
        </row>
        <row r="660">
          <cell r="A660" t="str">
            <v xml:space="preserve"> 5150300000010</v>
          </cell>
          <cell r="B660" t="str">
            <v>Отходы хлорида меди</v>
          </cell>
        </row>
        <row r="661">
          <cell r="A661" t="str">
            <v xml:space="preserve"> 5150300101012</v>
          </cell>
          <cell r="B661" t="str">
            <v>Отходы хлорида меди в твердом виде</v>
          </cell>
        </row>
        <row r="662">
          <cell r="A662" t="str">
            <v xml:space="preserve"> 5150390000010</v>
          </cell>
          <cell r="B662" t="str">
            <v>Отходы солей мышьяка</v>
          </cell>
        </row>
        <row r="663">
          <cell r="A663" t="str">
            <v xml:space="preserve"> 5150390101011</v>
          </cell>
          <cell r="B663" t="str">
            <v>Отходы солей мышьяка в твердом виде</v>
          </cell>
        </row>
        <row r="664">
          <cell r="A664" t="str">
            <v xml:space="preserve"> 5150430002012</v>
          </cell>
          <cell r="B664" t="str">
            <v>Растворы аммиачные для травления меди отработанные</v>
          </cell>
        </row>
        <row r="665">
          <cell r="A665" t="str">
            <v xml:space="preserve"> 5150450000000</v>
          </cell>
          <cell r="B665" t="str">
            <v>Отходы, содержащие соли фтора</v>
          </cell>
        </row>
        <row r="666">
          <cell r="A666" t="str">
            <v xml:space="preserve"> 5150450100012</v>
          </cell>
          <cell r="B666" t="str">
            <v>Расплав электролита алюминиевого производства</v>
          </cell>
        </row>
        <row r="667">
          <cell r="A667" t="str">
            <v xml:space="preserve"> 5200000000000</v>
          </cell>
          <cell r="B667" t="str">
            <v>Отходы кислот, щелочей, концентратов</v>
          </cell>
        </row>
        <row r="668">
          <cell r="A668" t="str">
            <v xml:space="preserve"> 5210000000000</v>
          </cell>
          <cell r="B668" t="str">
            <v>Отходы неорганических кислот</v>
          </cell>
        </row>
        <row r="669">
          <cell r="A669" t="str">
            <v xml:space="preserve"> 5210010002010</v>
          </cell>
          <cell r="B669" t="str">
            <v>Кислоты аккумуляторные, отработанные</v>
          </cell>
        </row>
        <row r="670">
          <cell r="A670" t="str">
            <v xml:space="preserve"> 5210010102012</v>
          </cell>
          <cell r="B670" t="str">
            <v>Кислота аккумуляторная серная отработанная</v>
          </cell>
        </row>
        <row r="671">
          <cell r="A671" t="str">
            <v xml:space="preserve"> 5210010304012</v>
          </cell>
          <cell r="B671" t="str">
            <v>Шлам сернокислотного электролита</v>
          </cell>
        </row>
        <row r="672">
          <cell r="A672" t="str">
            <v xml:space="preserve"> 5220000000000</v>
          </cell>
          <cell r="B672" t="str">
            <v>Отходы органических кислот</v>
          </cell>
        </row>
        <row r="673">
          <cell r="A673" t="str">
            <v xml:space="preserve"> 5240000000000</v>
          </cell>
          <cell r="B673" t="str">
            <v>Отходы щелочей</v>
          </cell>
        </row>
        <row r="674">
          <cell r="A674" t="str">
            <v xml:space="preserve"> 5240010000012</v>
          </cell>
          <cell r="B674" t="str">
            <v>Щелочи аккумуляторные отработанные</v>
          </cell>
        </row>
        <row r="675">
          <cell r="A675" t="str">
            <v xml:space="preserve"> 5240020002010</v>
          </cell>
          <cell r="B675" t="str">
            <v>Отходы щелочей и их смесей</v>
          </cell>
        </row>
        <row r="676">
          <cell r="A676" t="str">
            <v xml:space="preserve"> 5240020102012</v>
          </cell>
          <cell r="B676" t="str">
            <v>Отходы гидроксида натрия с рН &gt; 11,5</v>
          </cell>
        </row>
        <row r="677">
          <cell r="A677" t="str">
            <v xml:space="preserve"> 5240020102013</v>
          </cell>
          <cell r="B677" t="str">
            <v>Отходы гидроксида натрия с рН = 10,1 – 11,5</v>
          </cell>
        </row>
        <row r="678">
          <cell r="A678" t="str">
            <v xml:space="preserve"> 5240020102014</v>
          </cell>
          <cell r="B678" t="str">
            <v>Отходы гидроксида натрия с рН = 9,0 – 10,0</v>
          </cell>
        </row>
        <row r="679">
          <cell r="A679" t="str">
            <v xml:space="preserve"> 5240020202012</v>
          </cell>
          <cell r="B679" t="str">
            <v>Отходы гидроксида калия с рН &gt; 11,5</v>
          </cell>
        </row>
        <row r="680">
          <cell r="A680" t="str">
            <v xml:space="preserve"> 5240020202013</v>
          </cell>
          <cell r="B680" t="str">
            <v>Отходы гидроксида калия с рН = 10,1 – 11,5</v>
          </cell>
        </row>
        <row r="681">
          <cell r="A681" t="str">
            <v xml:space="preserve"> 5240020202014</v>
          </cell>
          <cell r="B681" t="str">
            <v>Отходы гидроксида калия с рН = 9,0 – 10,0</v>
          </cell>
        </row>
        <row r="682">
          <cell r="A682" t="str">
            <v xml:space="preserve"> 5270000000000</v>
          </cell>
          <cell r="B682" t="str">
            <v>Отходы концентратов</v>
          </cell>
        </row>
        <row r="683">
          <cell r="A683" t="str">
            <v xml:space="preserve"> 5300000000000</v>
          </cell>
          <cell r="B683" t="str">
            <v>Отходы средств защиты растений, средств дезинфекции</v>
          </cell>
        </row>
        <row r="684">
          <cell r="A684" t="str">
            <v xml:space="preserve"> 5310000000000</v>
          </cell>
          <cell r="B684" t="str">
            <v>Отходы средств обработки и защиты растений от вредителей</v>
          </cell>
        </row>
        <row r="685">
          <cell r="A685" t="str">
            <v xml:space="preserve"> 5400000000000</v>
          </cell>
          <cell r="B685" t="str">
            <v>Отходы переработки нефти, угля, газа, горючих сланцев и торфа</v>
          </cell>
        </row>
        <row r="686">
          <cell r="A686" t="str">
            <v xml:space="preserve"> 5410000000000</v>
          </cell>
          <cell r="B686" t="str">
            <v>Отходы синтетических и минеральных масел</v>
          </cell>
        </row>
        <row r="687">
          <cell r="A687" t="str">
            <v xml:space="preserve"> 5410020002000</v>
          </cell>
          <cell r="B687" t="str">
            <v>Синтетические и минеральные масла отработанные</v>
          </cell>
        </row>
        <row r="688">
          <cell r="A688" t="str">
            <v xml:space="preserve"> 5410020102033</v>
          </cell>
          <cell r="B688" t="str">
            <v>Масла моторные отработанные</v>
          </cell>
        </row>
        <row r="689">
          <cell r="A689" t="str">
            <v xml:space="preserve"> 5410020202033</v>
          </cell>
          <cell r="B689" t="str">
            <v>Масла автомобильные отработанные</v>
          </cell>
        </row>
        <row r="690">
          <cell r="A690" t="str">
            <v xml:space="preserve"> 5410020302033</v>
          </cell>
          <cell r="B690" t="str">
            <v>Масла дизельные отработанные</v>
          </cell>
        </row>
        <row r="691">
          <cell r="A691" t="str">
            <v xml:space="preserve"> 5410020402033</v>
          </cell>
          <cell r="B691" t="str">
            <v>Масла авиационные отработанные</v>
          </cell>
        </row>
        <row r="692">
          <cell r="A692" t="str">
            <v xml:space="preserve"> 5410020502033</v>
          </cell>
          <cell r="B692" t="str">
            <v>Масла индустриальные отработанные</v>
          </cell>
        </row>
        <row r="693">
          <cell r="A693" t="str">
            <v xml:space="preserve"> 5410020602033</v>
          </cell>
          <cell r="B693" t="str">
            <v>Масла трансмиссионные отработанные</v>
          </cell>
        </row>
        <row r="694">
          <cell r="A694" t="str">
            <v xml:space="preserve"> 5410020702033</v>
          </cell>
          <cell r="B694" t="str">
            <v>Масла трансформаторные отработанные, не содержащие галогены, полихлорированные дифенилы и терфенилы</v>
          </cell>
        </row>
        <row r="695">
          <cell r="A695" t="str">
            <v xml:space="preserve"> 5410020802071</v>
          </cell>
          <cell r="B695" t="str">
            <v>Масла трансформаторные отработанные, содержащие полихлорированные дифенилы и терфенилы</v>
          </cell>
        </row>
        <row r="696">
          <cell r="A696" t="str">
            <v xml:space="preserve"> 5410020902072</v>
          </cell>
          <cell r="B696" t="str">
            <v>Масла трансформаторные и теплонесущие отработанные, содержащие галогены</v>
          </cell>
        </row>
        <row r="697">
          <cell r="A697" t="str">
            <v xml:space="preserve"> 5410021002071</v>
          </cell>
          <cell r="B697" t="str">
            <v>Прочие масла, содержащие полихлорированные дифенилы и терфенилы, отработанные</v>
          </cell>
        </row>
        <row r="698">
          <cell r="A698" t="str">
            <v xml:space="preserve"> 5410021102033</v>
          </cell>
          <cell r="B698" t="str">
            <v>Масла компрессорные отработанные</v>
          </cell>
        </row>
        <row r="699">
          <cell r="A699" t="str">
            <v xml:space="preserve"> 5410021202033</v>
          </cell>
          <cell r="B699" t="str">
            <v>Масла турбинные отработанные</v>
          </cell>
        </row>
        <row r="700">
          <cell r="A700" t="str">
            <v xml:space="preserve"> 5410021302033</v>
          </cell>
          <cell r="B700" t="str">
            <v>Масла гидравлические отработанные, не содержащие галогены</v>
          </cell>
        </row>
        <row r="701">
          <cell r="A701" t="str">
            <v xml:space="preserve"> 5410021402072</v>
          </cell>
          <cell r="B701" t="str">
            <v>Масла гидравлические отработанные, содержащие галогены</v>
          </cell>
        </row>
        <row r="702">
          <cell r="A702" t="str">
            <v xml:space="preserve"> 5410022102033</v>
          </cell>
          <cell r="B702" t="str">
            <v>Силиконовые масла, отработанные</v>
          </cell>
        </row>
        <row r="703">
          <cell r="A703" t="str">
            <v xml:space="preserve"> 5410030000030</v>
          </cell>
          <cell r="B703" t="str">
            <v>Синтетические и минеральные масла, потерявшие потребительские свойства</v>
          </cell>
        </row>
        <row r="704">
          <cell r="A704" t="str">
            <v xml:space="preserve"> 5410030102033</v>
          </cell>
          <cell r="B704" t="str">
            <v>Остатки моторных масел, потерявших потребительские свойства</v>
          </cell>
        </row>
        <row r="705">
          <cell r="A705" t="str">
            <v xml:space="preserve"> 5410030202033</v>
          </cell>
          <cell r="B705" t="str">
            <v>Остатки автомобильных масел, потерявших потребительские свойства</v>
          </cell>
        </row>
        <row r="706">
          <cell r="A706" t="str">
            <v xml:space="preserve"> 5410030302033</v>
          </cell>
          <cell r="B706" t="str">
            <v>Остатки дизельных масел, потерявших потребительские свойства</v>
          </cell>
        </row>
        <row r="707">
          <cell r="A707" t="str">
            <v xml:space="preserve"> 5410030402033</v>
          </cell>
          <cell r="B707" t="str">
            <v>Остатки авиационных масел, потерявших потребительские свойства</v>
          </cell>
        </row>
        <row r="708">
          <cell r="A708" t="str">
            <v xml:space="preserve"> 5410030502033</v>
          </cell>
          <cell r="B708" t="str">
            <v>Остатки индустриальных масел, потерявших потребительские свойства</v>
          </cell>
        </row>
        <row r="709">
          <cell r="A709" t="str">
            <v xml:space="preserve"> 5410030602033</v>
          </cell>
          <cell r="B709" t="str">
            <v>Остатки трансмиссионных масел, потерявших потребительские свойства</v>
          </cell>
        </row>
        <row r="710">
          <cell r="A710" t="str">
            <v xml:space="preserve"> 5410030702033</v>
          </cell>
          <cell r="B710" t="str">
            <v>Остатки  трансформаторных масел, не содержащих  галогены, полихлорированные дифенилы и терфенилы и потерявших потребительские свойства</v>
          </cell>
        </row>
        <row r="711">
          <cell r="A711" t="str">
            <v xml:space="preserve"> 5410030802071</v>
          </cell>
          <cell r="B711" t="str">
            <v>Остатки трансформаторных масел, содержащих полихлорированные дифенилы и терфенилы и потерявших потребительские свойства</v>
          </cell>
        </row>
        <row r="712">
          <cell r="A712" t="str">
            <v xml:space="preserve"> 5410030902072</v>
          </cell>
          <cell r="B712" t="str">
            <v>Остатки трансформаторных масел, содержащих галогены и потерявших потребительские свойства</v>
          </cell>
        </row>
        <row r="713">
          <cell r="A713" t="str">
            <v xml:space="preserve"> 5410031002071</v>
          </cell>
          <cell r="B713" t="str">
            <v>Остатки прочих масел, содержащих полихлорированные дифенилы и терфенилы и потерявших потребительские свойства</v>
          </cell>
        </row>
        <row r="714">
          <cell r="A714" t="str">
            <v xml:space="preserve"> 5410031102033</v>
          </cell>
          <cell r="B714" t="str">
            <v>Остатки компрессорных масел, потерявших потребительские свойства</v>
          </cell>
        </row>
        <row r="715">
          <cell r="A715" t="str">
            <v xml:space="preserve"> 5410031202033</v>
          </cell>
          <cell r="B715" t="str">
            <v>Остатки турбинных масел, потерявших потребительские свойства</v>
          </cell>
        </row>
        <row r="716">
          <cell r="A716" t="str">
            <v xml:space="preserve"> 5410031302033</v>
          </cell>
          <cell r="B716" t="str">
            <v>Остатки гидравлических масел, не содержащих галогены и потерявших потребительские свойства</v>
          </cell>
        </row>
        <row r="717">
          <cell r="A717" t="str">
            <v xml:space="preserve"> 5410031402072</v>
          </cell>
          <cell r="B717" t="str">
            <v>Остатки гидравлических масел, содержащих галогены и потерявших потребительские свойства</v>
          </cell>
        </row>
        <row r="718">
          <cell r="A718" t="str">
            <v xml:space="preserve"> 5410031502033</v>
          </cell>
          <cell r="B718" t="str">
            <v>Остатки смазочно-охлаждающих масел для механической обработки, потерявших потребительские свойства</v>
          </cell>
        </row>
        <row r="719">
          <cell r="A719" t="str">
            <v xml:space="preserve"> 5410032102033</v>
          </cell>
          <cell r="B719" t="str">
            <v>Остатки силиконовых масел, потерявших потребительские свойства,</v>
          </cell>
        </row>
        <row r="720">
          <cell r="A720" t="str">
            <v xml:space="preserve"> 5410110002033</v>
          </cell>
          <cell r="B720" t="str">
            <v>Остатки дизельного топлива, потерявшего потребительские свойства</v>
          </cell>
        </row>
        <row r="721">
          <cell r="A721" t="str">
            <v xml:space="preserve"> 5420000000000</v>
          </cell>
          <cell r="B721" t="str">
            <v>Отходы жиров (смазок) и парафинов из минеральных масел</v>
          </cell>
        </row>
        <row r="722">
          <cell r="A722" t="str">
            <v xml:space="preserve"> 5440000000000</v>
          </cell>
          <cell r="B722" t="str">
            <v>Отходы эмульсий и смесей нефтепродуктов</v>
          </cell>
        </row>
        <row r="723">
          <cell r="A723" t="str">
            <v xml:space="preserve"> 5440020006030</v>
          </cell>
          <cell r="B723" t="str">
            <v>Отходы эмульсий и эмульсионных смесей для механической обработки, содержащие масла или нефтепродукты</v>
          </cell>
        </row>
        <row r="724">
          <cell r="A724" t="str">
            <v xml:space="preserve"> 5440020106033</v>
          </cell>
          <cell r="B724" t="str">
            <v>Эмульсии и эмульсионные смеси для шлифовки металлов отработанные, содержащие масла или нефтепродукты в количестве 15% и более</v>
          </cell>
        </row>
        <row r="725">
          <cell r="A725" t="str">
            <v xml:space="preserve"> 5440020106034</v>
          </cell>
          <cell r="B725" t="str">
            <v>Эмульсии и эмульсионные смеси для шлифовки металлов отработанные, содержащие масла или нефтепродукты в количестве менее 15%</v>
          </cell>
        </row>
        <row r="726">
          <cell r="A726" t="str">
            <v xml:space="preserve"> 5460000000000</v>
          </cell>
          <cell r="B726" t="str">
            <v>Шламы нефти и нефтепродуктов</v>
          </cell>
        </row>
        <row r="727">
          <cell r="A727" t="str">
            <v xml:space="preserve"> 5460020006033</v>
          </cell>
          <cell r="B727" t="str">
            <v>Всплывающая пленка из нефтеуловителей (бензиноуловителей)</v>
          </cell>
        </row>
        <row r="728">
          <cell r="A728" t="str">
            <v xml:space="preserve"> 5460030004033</v>
          </cell>
          <cell r="B728" t="str">
            <v>Шлам нефтеотделительных установок</v>
          </cell>
        </row>
        <row r="729">
          <cell r="A729" t="str">
            <v xml:space="preserve"> 5460040004033</v>
          </cell>
          <cell r="B729" t="str">
            <v>Шлам от очистки танков нефтеналивных судов</v>
          </cell>
        </row>
        <row r="730">
          <cell r="A730" t="str">
            <v xml:space="preserve"> 5460100004033</v>
          </cell>
          <cell r="B730" t="str">
            <v>Шлам шлифовальный маслосодержащий</v>
          </cell>
        </row>
        <row r="731">
          <cell r="A731" t="str">
            <v xml:space="preserve"> 5460150004030</v>
          </cell>
          <cell r="B731" t="str">
            <v>Шлам очистки трубопроводов и емкостей (бочек, контейнеров, цистерн, гудронаторов) от нефти и нефтепродуктов</v>
          </cell>
        </row>
        <row r="732">
          <cell r="A732" t="str">
            <v xml:space="preserve"> 5460150104033</v>
          </cell>
          <cell r="B732" t="str">
            <v>Шлам очистки трубопроводов и емкостей (бочек, контейнеров, цистерн, гудронаторов) от нефти</v>
          </cell>
        </row>
        <row r="733">
          <cell r="A733" t="str">
            <v xml:space="preserve"> 5470000000000</v>
          </cell>
          <cell r="B733" t="str">
            <v>Шламы минеральных масел</v>
          </cell>
        </row>
        <row r="734">
          <cell r="A734" t="str">
            <v xml:space="preserve"> 5480000000000</v>
          </cell>
          <cell r="B734" t="str">
            <v>Остатки рафинирования нефтепродуктов</v>
          </cell>
        </row>
        <row r="735">
          <cell r="A735" t="str">
            <v xml:space="preserve"> 5480020000002</v>
          </cell>
          <cell r="B735" t="str">
            <v>Отходы кислых смол, кислого дегтя</v>
          </cell>
        </row>
        <row r="736">
          <cell r="A736" t="str">
            <v xml:space="preserve"> 5490000000000</v>
          </cell>
          <cell r="B736" t="str">
            <v>Прочие отходы нефтепродуктов, продуктов переработки нефти, угля, газа, горючих сланцев и торфа</v>
          </cell>
        </row>
        <row r="737">
          <cell r="A737" t="str">
            <v xml:space="preserve"> 5490120001004</v>
          </cell>
          <cell r="B737" t="str">
            <v>Отходы битума, асфальта в твердой форме</v>
          </cell>
        </row>
        <row r="738">
          <cell r="A738" t="str">
            <v xml:space="preserve"> 5490270001030</v>
          </cell>
          <cell r="B738" t="str">
            <v>Обтирочный материал, загрязненный нефтепродуктами</v>
          </cell>
        </row>
        <row r="739">
          <cell r="A739" t="str">
            <v xml:space="preserve"> 5490270101033</v>
          </cell>
          <cell r="B739" t="str">
            <v>Обтирочный материал, загрязненный маслами (содержание масел 15 % и более)</v>
          </cell>
        </row>
        <row r="740">
          <cell r="A740" t="str">
            <v xml:space="preserve"> 5490270101034</v>
          </cell>
          <cell r="B740" t="str">
            <v>Обтирочный материал, загрязненный маслами (содержание масел менее 15 %)</v>
          </cell>
        </row>
        <row r="741">
          <cell r="A741" t="str">
            <v xml:space="preserve"> 5490300000000</v>
          </cell>
          <cell r="B741" t="str">
            <v>Отходы твердых производственных материалов, загрязненные нефтяными и минеральными жировыми продуктами</v>
          </cell>
        </row>
        <row r="742">
          <cell r="A742" t="str">
            <v xml:space="preserve"> 5490300104033</v>
          </cell>
          <cell r="B742" t="str">
            <v>Окалина замасленная (содержание масла 15 % и более)</v>
          </cell>
        </row>
        <row r="743">
          <cell r="A743" t="str">
            <v xml:space="preserve"> 5490300104034</v>
          </cell>
          <cell r="B743" t="str">
            <v>Окалина замасленная (содержание масла менее 15 %)</v>
          </cell>
        </row>
        <row r="744">
          <cell r="A744" t="str">
            <v xml:space="preserve"> 5490300201033</v>
          </cell>
          <cell r="B744" t="str">
            <v>Пенька промасленная (содержание масла 15 % и более)</v>
          </cell>
        </row>
        <row r="745">
          <cell r="A745" t="str">
            <v xml:space="preserve"> 5490300201034</v>
          </cell>
          <cell r="B745" t="str">
            <v>Пенька промасленная (содержание масла менее 15 %)</v>
          </cell>
        </row>
        <row r="746">
          <cell r="A746" t="str">
            <v xml:space="preserve"> 5490300301033</v>
          </cell>
          <cell r="B746" t="str">
            <v>Сальниковая набивка асбесто-графитовая, промасленная (содержание масла 15 % и более)</v>
          </cell>
        </row>
        <row r="747">
          <cell r="A747" t="str">
            <v xml:space="preserve"> 5490300301034</v>
          </cell>
          <cell r="B747" t="str">
            <v>Сальниковая набивка асбесто-графитовая, промасленная (содержание масла менее 15 %)</v>
          </cell>
        </row>
        <row r="748">
          <cell r="A748" t="str">
            <v xml:space="preserve"> 5500000000000</v>
          </cell>
          <cell r="B748" t="str">
            <v>Отходы органических растворителей, красок, лаков, клея, мастик и смол</v>
          </cell>
        </row>
        <row r="749">
          <cell r="A749" t="str">
            <v xml:space="preserve"> 5520000000000</v>
          </cell>
          <cell r="B749" t="str">
            <v>Отходы органических галогеносодержащих рстворителей, их смесей и других галогенированных жидкостей</v>
          </cell>
        </row>
        <row r="750">
          <cell r="A750" t="str">
            <v xml:space="preserve"> 5530000000000</v>
          </cell>
          <cell r="B750" t="str">
            <v>Отходы негалогенированных органических растворителей и их смесей</v>
          </cell>
        </row>
        <row r="751">
          <cell r="A751" t="str">
            <v xml:space="preserve"> 5530010002070</v>
          </cell>
          <cell r="B751" t="str">
            <v>Отходы ацетона</v>
          </cell>
        </row>
        <row r="752">
          <cell r="A752" t="str">
            <v xml:space="preserve"> 5530010102073</v>
          </cell>
          <cell r="B752" t="str">
            <v>Остатки ацетона, потерявшего потребительские свойства</v>
          </cell>
        </row>
        <row r="753">
          <cell r="A753" t="str">
            <v xml:space="preserve"> 5530020002070</v>
          </cell>
          <cell r="B753" t="str">
            <v>Отходы этилацетата</v>
          </cell>
        </row>
        <row r="754">
          <cell r="A754" t="str">
            <v xml:space="preserve"> 5530020102073</v>
          </cell>
          <cell r="B754" t="str">
            <v>Остатки этилацетата, потерявшего потребительские свойства</v>
          </cell>
        </row>
        <row r="755">
          <cell r="A755" t="str">
            <v xml:space="preserve"> 5530030002070</v>
          </cell>
          <cell r="B755" t="str">
            <v>Отходы этиленгликоля</v>
          </cell>
        </row>
        <row r="756">
          <cell r="A756" t="str">
            <v xml:space="preserve"> 5530040102073</v>
          </cell>
          <cell r="B756" t="str">
            <v>Остатки этиленгликоля, потерявшего потребительские свойства</v>
          </cell>
        </row>
        <row r="757">
          <cell r="A757" t="str">
            <v xml:space="preserve"> 5530060002070</v>
          </cell>
          <cell r="B757" t="str">
            <v>Отходы бензола</v>
          </cell>
        </row>
        <row r="758">
          <cell r="A758" t="str">
            <v xml:space="preserve"> 5530060102073</v>
          </cell>
          <cell r="B758" t="str">
            <v>Остатки бензола, потерявшего потребительские свойства</v>
          </cell>
        </row>
        <row r="759">
          <cell r="A759" t="str">
            <v xml:space="preserve"> 5530100002070</v>
          </cell>
          <cell r="B759" t="str">
            <v>Отходы эфира диэтилового</v>
          </cell>
        </row>
        <row r="760">
          <cell r="A760" t="str">
            <v xml:space="preserve"> 5530100102073</v>
          </cell>
          <cell r="B760" t="str">
            <v>Остатки диэтилового эфира, потерявшего потребительские свойства</v>
          </cell>
        </row>
        <row r="761">
          <cell r="A761" t="str">
            <v xml:space="preserve"> 5530200002070</v>
          </cell>
          <cell r="B761" t="str">
            <v>Отходы пиридина</v>
          </cell>
        </row>
        <row r="762">
          <cell r="A762" t="str">
            <v xml:space="preserve"> 5530200102072</v>
          </cell>
          <cell r="B762" t="str">
            <v>Остатки пиридина, потерявшего потребительские свойства</v>
          </cell>
        </row>
        <row r="763">
          <cell r="A763" t="str">
            <v xml:space="preserve"> 5530210002150</v>
          </cell>
          <cell r="B763" t="str">
            <v>Отходы сероуглерода</v>
          </cell>
        </row>
        <row r="764">
          <cell r="A764" t="str">
            <v xml:space="preserve"> 5530210102153</v>
          </cell>
          <cell r="B764" t="str">
            <v>Остатки сероуглерода, потерявшего потребительские свойства</v>
          </cell>
        </row>
        <row r="765">
          <cell r="A765" t="str">
            <v xml:space="preserve"> 5530250002070</v>
          </cell>
          <cell r="B765" t="str">
            <v>Отходы толуола</v>
          </cell>
        </row>
        <row r="766">
          <cell r="A766" t="str">
            <v xml:space="preserve"> 5530250102073</v>
          </cell>
          <cell r="B766" t="str">
            <v>Остатки толуола, потерявшего потребительские свойства</v>
          </cell>
        </row>
        <row r="767">
          <cell r="A767" t="str">
            <v xml:space="preserve"> 5530270002070</v>
          </cell>
          <cell r="B767" t="str">
            <v>Отходы ксилола</v>
          </cell>
        </row>
        <row r="768">
          <cell r="A768" t="str">
            <v xml:space="preserve"> 5530270102073</v>
          </cell>
          <cell r="B768" t="str">
            <v>Остатки ксилола, потерявшего потребительские свойства</v>
          </cell>
        </row>
        <row r="769">
          <cell r="A769" t="str">
            <v xml:space="preserve"> 5530580002010</v>
          </cell>
          <cell r="B769" t="str">
            <v>Отходы крезола</v>
          </cell>
        </row>
        <row r="770">
          <cell r="A770" t="str">
            <v xml:space="preserve"> 5530580102011</v>
          </cell>
          <cell r="B770" t="str">
            <v>Остатки крезола, потерявшего потребительские свойства</v>
          </cell>
        </row>
        <row r="771">
          <cell r="A771" t="str">
            <v xml:space="preserve"> 5540000000000</v>
          </cell>
          <cell r="B771" t="str">
            <v>Шламы, содержащие растворители</v>
          </cell>
        </row>
        <row r="772">
          <cell r="A772" t="str">
            <v xml:space="preserve"> 5550000000000</v>
          </cell>
          <cell r="B772" t="str">
            <v>Отходы лакокрасочных средств</v>
          </cell>
        </row>
        <row r="773">
          <cell r="A773" t="str">
            <v xml:space="preserve"> 5570000000000</v>
          </cell>
          <cell r="B773" t="str">
            <v>Отходы клея, клеящих веществ, мастик, незатвердевших смол</v>
          </cell>
        </row>
        <row r="774">
          <cell r="A774" t="str">
            <v xml:space="preserve"> 5600000000000</v>
          </cell>
          <cell r="B774" t="str">
            <v>Отходы фармацевтической продукции и гигиенических средств</v>
          </cell>
        </row>
        <row r="775">
          <cell r="A775" t="str">
            <v xml:space="preserve"> 5610000000000</v>
          </cell>
          <cell r="B775" t="str">
            <v>Отходы фармацевтической продукции, ее производства и приготовления</v>
          </cell>
        </row>
        <row r="776">
          <cell r="A776" t="str">
            <v xml:space="preserve"> 5660000000000</v>
          </cell>
          <cell r="B776" t="str">
            <v>Отходы гигиенических средств</v>
          </cell>
        </row>
        <row r="777">
          <cell r="A777" t="str">
            <v xml:space="preserve"> 5700000000000</v>
          </cell>
          <cell r="B777" t="str">
            <v>Отходы полимерных материалов</v>
          </cell>
        </row>
        <row r="778">
          <cell r="A778" t="str">
            <v xml:space="preserve"> 5710000000000</v>
          </cell>
          <cell r="B778" t="str">
            <v>Затвердевшие отходы пластмасс</v>
          </cell>
        </row>
        <row r="779">
          <cell r="A779" t="str">
            <v xml:space="preserve"> 5710020001005</v>
          </cell>
          <cell r="B779" t="str">
            <v>Отходы твердых сложных полиэфиров</v>
          </cell>
        </row>
        <row r="780">
          <cell r="A780" t="str">
            <v xml:space="preserve"> 5710050013005</v>
          </cell>
          <cell r="B780" t="str">
            <v>Шнуры синтетические, потерявшие потребительские свойства</v>
          </cell>
        </row>
        <row r="781">
          <cell r="A781" t="str">
            <v xml:space="preserve"> 5710070001005</v>
          </cell>
          <cell r="B781" t="str">
            <v>Отходы формовочных масс (термореактивной пластмассы) затвердевшие</v>
          </cell>
        </row>
        <row r="782">
          <cell r="A782" t="str">
            <v xml:space="preserve"> 5710080001005</v>
          </cell>
          <cell r="B782" t="str">
            <v>Отходы твердого полистирола, полистирольной пены или пленки</v>
          </cell>
        </row>
        <row r="783">
          <cell r="A783" t="str">
            <v xml:space="preserve"> 5710090001000</v>
          </cell>
          <cell r="B783" t="str">
            <v>Отходы гетинакса, текстолита, вулканизированной фибры, пленкосинтетического картона</v>
          </cell>
        </row>
        <row r="784">
          <cell r="A784" t="str">
            <v xml:space="preserve"> 5710090101004</v>
          </cell>
          <cell r="B784" t="str">
            <v>Отходы пленкосинтетического картона</v>
          </cell>
        </row>
        <row r="785">
          <cell r="A785" t="str">
            <v xml:space="preserve"> 5710090201004</v>
          </cell>
          <cell r="B785" t="str">
            <v>Отходы пленкоасбокартона</v>
          </cell>
        </row>
        <row r="786">
          <cell r="A786" t="str">
            <v xml:space="preserve"> 5710090301005</v>
          </cell>
          <cell r="B786" t="str">
            <v>Отходы клеенки на тканевой основе</v>
          </cell>
        </row>
        <row r="787">
          <cell r="A787" t="str">
            <v xml:space="preserve"> 5710090401005</v>
          </cell>
          <cell r="B787" t="str">
            <v>Отходы клеенки на бумажной основе</v>
          </cell>
        </row>
        <row r="788">
          <cell r="A788" t="str">
            <v xml:space="preserve"> 5710100001005</v>
          </cell>
          <cell r="B788" t="str">
            <v>Отходы затвердевшего полиуретана, полиуретановой пены или пленки</v>
          </cell>
        </row>
        <row r="789">
          <cell r="A789" t="str">
            <v xml:space="preserve"> 5710110001005</v>
          </cell>
          <cell r="B789" t="str">
            <v>Отходы затвердевших полиамидов</v>
          </cell>
        </row>
        <row r="790">
          <cell r="A790" t="str">
            <v xml:space="preserve"> 5710120001005</v>
          </cell>
          <cell r="B790" t="str">
            <v>Отходы жесткого пенопласта (исключая поливинилхлоридный)</v>
          </cell>
        </row>
        <row r="791">
          <cell r="A791" t="str">
            <v xml:space="preserve"> 5710130013005</v>
          </cell>
          <cell r="B791" t="str">
            <v>Шланги пластмассовые, потерявшие потребительские свойства</v>
          </cell>
        </row>
        <row r="792">
          <cell r="A792" t="str">
            <v xml:space="preserve"> 5710150001004</v>
          </cell>
          <cell r="B792" t="str">
            <v>Отходы фото - и кинопленки, рентгеновской пленки</v>
          </cell>
        </row>
        <row r="793">
          <cell r="A793" t="str">
            <v xml:space="preserve"> 5710160001004</v>
          </cell>
          <cell r="B793" t="str">
            <v>Отходы затвердевшего поливинилхлорида и пенопласта на его базе</v>
          </cell>
        </row>
        <row r="794">
          <cell r="A794" t="str">
            <v xml:space="preserve"> 5710170001005</v>
          </cell>
          <cell r="B794" t="str">
            <v>Отходы затвердевших полиакрилатов, поликарбонатов, органического стекла</v>
          </cell>
        </row>
        <row r="795">
          <cell r="A795" t="str">
            <v xml:space="preserve"> 5710180013005</v>
          </cell>
          <cell r="B795" t="str">
            <v>Пластмассовая незагрязненная тара, потерявшая потребительские свойства</v>
          </cell>
        </row>
        <row r="796">
          <cell r="A796" t="str">
            <v xml:space="preserve"> 5710190001005</v>
          </cell>
          <cell r="B796" t="str">
            <v>Отходы пластмассовой (синтетической) пленки, незагрязненной</v>
          </cell>
        </row>
        <row r="797">
          <cell r="A797" t="str">
            <v xml:space="preserve"> 5710200001005</v>
          </cell>
          <cell r="B797" t="str">
            <v>Отходы затвердевшего поливинилацетата</v>
          </cell>
        </row>
        <row r="798">
          <cell r="A798" t="str">
            <v xml:space="preserve"> 5710210001005</v>
          </cell>
          <cell r="B798" t="str">
            <v>Отходы затвердевшего поливинилового спирта</v>
          </cell>
        </row>
        <row r="799">
          <cell r="A799" t="str">
            <v xml:space="preserve"> 5710220001005</v>
          </cell>
          <cell r="B799" t="str">
            <v>Отходы затвердевшего поливинилацеталя</v>
          </cell>
        </row>
        <row r="800">
          <cell r="A800" t="str">
            <v xml:space="preserve"> 5710240001000</v>
          </cell>
          <cell r="B800" t="str">
            <v>Отходы затвердевшей смолы ионообменников (в том числе отработанной), не содержащей опасные вещества</v>
          </cell>
        </row>
        <row r="801">
          <cell r="A801" t="str">
            <v xml:space="preserve"> 5710240101005</v>
          </cell>
          <cell r="B801" t="str">
            <v>Ионообменные смолы для водоподготовки, потерявшие потребительские свойства</v>
          </cell>
        </row>
        <row r="802">
          <cell r="A802" t="str">
            <v xml:space="preserve"> 5710240201005</v>
          </cell>
          <cell r="B802" t="str">
            <v>Ионообменные смолы для умягчения питьевой воды отработанные</v>
          </cell>
        </row>
        <row r="803">
          <cell r="A803" t="str">
            <v xml:space="preserve"> 5710280001005</v>
          </cell>
          <cell r="B803" t="str">
            <v>Отходы затвердевших полиолефинов  (кроме полиэтилена и полипропилена)</v>
          </cell>
        </row>
        <row r="804">
          <cell r="A804" t="str">
            <v xml:space="preserve"> 5710290001000</v>
          </cell>
          <cell r="B804" t="str">
            <v>Отходы затвердевшего полиэтилена</v>
          </cell>
        </row>
        <row r="805">
          <cell r="A805" t="str">
            <v xml:space="preserve"> 5710290101995</v>
          </cell>
          <cell r="B805" t="str">
            <v>Отходы полиэтилена в виде лома, литников</v>
          </cell>
        </row>
        <row r="806">
          <cell r="A806" t="str">
            <v xml:space="preserve"> 5710290201995</v>
          </cell>
          <cell r="B806" t="str">
            <v>Отходы полиэтилена в виде пленки</v>
          </cell>
        </row>
        <row r="807">
          <cell r="A807" t="str">
            <v xml:space="preserve"> 5710290313995</v>
          </cell>
          <cell r="B807" t="str">
            <v>Полиэтиленовая тара, поврежденная</v>
          </cell>
        </row>
        <row r="808">
          <cell r="A808" t="str">
            <v xml:space="preserve"> 5710300001000</v>
          </cell>
          <cell r="B808" t="str">
            <v>Отходы затвердевшего полипропилена</v>
          </cell>
        </row>
        <row r="809">
          <cell r="A809" t="str">
            <v xml:space="preserve"> 5710300101995</v>
          </cell>
          <cell r="B809" t="str">
            <v>Отходы полипропилена в виде лома, литников</v>
          </cell>
        </row>
        <row r="810">
          <cell r="A810" t="str">
            <v xml:space="preserve"> 5710300201995</v>
          </cell>
          <cell r="B810" t="str">
            <v>Отходы полипропилена в виде пленки</v>
          </cell>
        </row>
        <row r="811">
          <cell r="A811" t="str">
            <v xml:space="preserve"> 5710320001000</v>
          </cell>
          <cell r="B811" t="str">
            <v>Отходы затвердевших стеклопластиков</v>
          </cell>
        </row>
        <row r="812">
          <cell r="A812" t="str">
            <v xml:space="preserve"> 5710320101004</v>
          </cell>
          <cell r="B812" t="str">
            <v>Отходы стеклолакоткани</v>
          </cell>
        </row>
        <row r="813">
          <cell r="A813" t="str">
            <v xml:space="preserve"> 5710320201005</v>
          </cell>
          <cell r="B813" t="str">
            <v>Отходы имидофлекса</v>
          </cell>
        </row>
        <row r="814">
          <cell r="A814" t="str">
            <v xml:space="preserve"> 5710320301005</v>
          </cell>
          <cell r="B814" t="str">
            <v>Отходы стеклослюдопласта</v>
          </cell>
        </row>
        <row r="815">
          <cell r="A815" t="str">
            <v xml:space="preserve"> 5710330001005</v>
          </cell>
          <cell r="B815" t="str">
            <v>Отходы затвердевшего компаунда</v>
          </cell>
        </row>
        <row r="816">
          <cell r="A816" t="str">
            <v xml:space="preserve"> 5710350001005</v>
          </cell>
          <cell r="B816" t="str">
            <v>Отходы затвердевших этролов (пластмасс на основе эфиров целлюлозы)</v>
          </cell>
        </row>
        <row r="817">
          <cell r="A817" t="str">
            <v xml:space="preserve"> 5710360001000</v>
          </cell>
          <cell r="B817" t="str">
            <v>Отходы твердых сополимеров стирола</v>
          </cell>
        </row>
        <row r="818">
          <cell r="A818" t="str">
            <v xml:space="preserve"> 5710360101005</v>
          </cell>
          <cell r="B818" t="str">
            <v>Отходы твердого акрилонитрилбутадиенстирола (пластик АБС)</v>
          </cell>
        </row>
        <row r="819">
          <cell r="A819" t="str">
            <v xml:space="preserve"> 5710370001005</v>
          </cell>
          <cell r="B819" t="str">
            <v>Отходы целлулоида</v>
          </cell>
        </row>
        <row r="820">
          <cell r="A820" t="str">
            <v xml:space="preserve"> 5710380001005</v>
          </cell>
          <cell r="B820" t="str">
            <v>Отходы целлофана</v>
          </cell>
        </row>
        <row r="821">
          <cell r="A821" t="str">
            <v xml:space="preserve"> 5710390001005</v>
          </cell>
          <cell r="B821" t="str">
            <v>Отходы полиэтилентерефталата (в том числе пленки на его базе)</v>
          </cell>
        </row>
        <row r="822">
          <cell r="A822" t="str">
            <v xml:space="preserve"> 5710990001004</v>
          </cell>
          <cell r="B822" t="str">
            <v>Отходы смеси затвердевших разнородных пластмасс</v>
          </cell>
        </row>
        <row r="823">
          <cell r="A823" t="str">
            <v xml:space="preserve"> 5720000000000</v>
          </cell>
          <cell r="B823" t="str">
            <v>Отходы незатвердевших пластмасс, формовочных масс и компонентов</v>
          </cell>
        </row>
        <row r="824">
          <cell r="A824" t="str">
            <v xml:space="preserve"> 5730000000000</v>
          </cell>
          <cell r="B824" t="str">
            <v>Шламы и эмульсии полимерных материалов</v>
          </cell>
        </row>
        <row r="825">
          <cell r="A825" t="str">
            <v xml:space="preserve"> 5750000000000</v>
          </cell>
          <cell r="B825" t="str">
            <v>Отходы резины, включая старые шины</v>
          </cell>
        </row>
        <row r="826">
          <cell r="A826" t="str">
            <v xml:space="preserve"> 5750010001000</v>
          </cell>
          <cell r="B826" t="str">
            <v>Твердые отходы резины</v>
          </cell>
        </row>
        <row r="827">
          <cell r="A827" t="str">
            <v xml:space="preserve"> 5750010113005</v>
          </cell>
          <cell r="B827" t="str">
            <v>Резиновые изделия незагрязненные, потерявшие потребительские свойства</v>
          </cell>
        </row>
        <row r="828">
          <cell r="A828" t="str">
            <v xml:space="preserve"> 5750010201005</v>
          </cell>
          <cell r="B828" t="str">
            <v>Обрезки резины</v>
          </cell>
        </row>
        <row r="829">
          <cell r="A829" t="str">
            <v xml:space="preserve"> 5750010309005</v>
          </cell>
          <cell r="B829" t="str">
            <v>Отходы гранулированной резины</v>
          </cell>
        </row>
        <row r="830">
          <cell r="A830" t="str">
            <v xml:space="preserve"> 5750010401005</v>
          </cell>
          <cell r="B830" t="str">
            <v>Резиновая крошка, резиновый скрап</v>
          </cell>
        </row>
        <row r="831">
          <cell r="A831" t="str">
            <v xml:space="preserve"> 5750010511004</v>
          </cell>
          <cell r="B831" t="str">
            <v>Пыль (мука) резиновая</v>
          </cell>
        </row>
        <row r="832">
          <cell r="A832" t="str">
            <v xml:space="preserve"> 5750020013004</v>
          </cell>
          <cell r="B832" t="str">
            <v>Шины пневматические отработанные</v>
          </cell>
        </row>
        <row r="833">
          <cell r="A833" t="str">
            <v xml:space="preserve"> 5750020113004</v>
          </cell>
          <cell r="B833" t="str">
            <v>Камеры пневматические отработанные</v>
          </cell>
        </row>
        <row r="834">
          <cell r="A834" t="str">
            <v xml:space="preserve"> 5750020213004</v>
          </cell>
          <cell r="B834" t="str">
            <v>Покрышки отработанные</v>
          </cell>
        </row>
        <row r="835">
          <cell r="A835" t="str">
            <v xml:space="preserve"> 5750020313004</v>
          </cell>
          <cell r="B835" t="str">
            <v>Покрышки с тканевым кордом отработанные</v>
          </cell>
        </row>
        <row r="836">
          <cell r="A836" t="str">
            <v xml:space="preserve"> 5750020413004</v>
          </cell>
          <cell r="B836" t="str">
            <v>Покрышки с металлическим кордом отработанные</v>
          </cell>
        </row>
        <row r="837">
          <cell r="A837" t="str">
            <v xml:space="preserve"> 5750030001004</v>
          </cell>
          <cell r="B837" t="str">
            <v>Резиноасбестовые отходы (в том числе изделия отработанные и брак)</v>
          </cell>
        </row>
        <row r="838">
          <cell r="A838" t="str">
            <v xml:space="preserve"> 5750040001000</v>
          </cell>
          <cell r="B838" t="str">
            <v>Резинометаллические отходы (в том числе изделия отработанные и брак)</v>
          </cell>
        </row>
        <row r="839">
          <cell r="A839" t="str">
            <v xml:space="preserve"> 5750040101005</v>
          </cell>
          <cell r="B839" t="str">
            <v>Резинометаллические отходы</v>
          </cell>
        </row>
        <row r="840">
          <cell r="A840" t="str">
            <v xml:space="preserve"> 5750040213005</v>
          </cell>
          <cell r="B840" t="str">
            <v>Резинометаллические изделия, отработанные</v>
          </cell>
        </row>
        <row r="841">
          <cell r="A841" t="str">
            <v xml:space="preserve"> 5750050001005</v>
          </cell>
          <cell r="B841" t="str">
            <v>Отходы пленки (накипи) латекса</v>
          </cell>
        </row>
        <row r="842">
          <cell r="A842" t="str">
            <v xml:space="preserve"> 5770000000000</v>
          </cell>
          <cell r="B842" t="str">
            <v>Резиновые шламы и эмульсии</v>
          </cell>
        </row>
        <row r="843">
          <cell r="A843" t="str">
            <v xml:space="preserve"> 5780000000000</v>
          </cell>
          <cell r="B843" t="str">
            <v>Остатки полимерных материалов в размельчителях</v>
          </cell>
        </row>
        <row r="844">
          <cell r="A844" t="str">
            <v xml:space="preserve"> 5780010001004</v>
          </cell>
          <cell r="B844" t="str">
            <v>Отходы полимерных материалов из размалывающих устройств (легкие фракции)</v>
          </cell>
        </row>
        <row r="845">
          <cell r="A845" t="str">
            <v xml:space="preserve"> 5780020011004</v>
          </cell>
          <cell r="B845" t="str">
            <v>Пыль полимерных материалов с фильтров размалывающих устройств</v>
          </cell>
        </row>
        <row r="846">
          <cell r="A846" t="str">
            <v xml:space="preserve"> 5800000000000</v>
          </cell>
          <cell r="B846" t="str">
            <v>Отходы текстильного производства, производства волокон</v>
          </cell>
        </row>
        <row r="847">
          <cell r="A847" t="str">
            <v xml:space="preserve"> 5810000000000</v>
          </cell>
          <cell r="B847" t="str">
            <v>Текстильные отходы и шламы</v>
          </cell>
        </row>
        <row r="848">
          <cell r="A848" t="str">
            <v xml:space="preserve"> 5810010001000</v>
          </cell>
          <cell r="B848" t="str">
            <v>Отходы полиамидного волокна и нитей</v>
          </cell>
        </row>
        <row r="849">
          <cell r="A849" t="str">
            <v xml:space="preserve"> 5810011101995</v>
          </cell>
          <cell r="B849" t="str">
            <v>Пережженные поликапроамидные слитки, жилка, щетина</v>
          </cell>
        </row>
        <row r="850">
          <cell r="A850" t="str">
            <v xml:space="preserve"> 5810020001995</v>
          </cell>
          <cell r="B850" t="str">
            <v>Отходы полиэфирного волокна и нитей</v>
          </cell>
        </row>
        <row r="851">
          <cell r="A851" t="str">
            <v xml:space="preserve"> 5810030001995</v>
          </cell>
          <cell r="B851" t="str">
            <v>Отходы полиакрилового волокна и нитей</v>
          </cell>
        </row>
        <row r="852">
          <cell r="A852" t="str">
            <v xml:space="preserve"> 5810040001995</v>
          </cell>
          <cell r="B852" t="str">
            <v>Отходы целлюлозного волокна</v>
          </cell>
        </row>
        <row r="853">
          <cell r="A853" t="str">
            <v xml:space="preserve"> 5810050001995</v>
          </cell>
          <cell r="B853" t="str">
            <v>Отходы шерстяного волокна (включая очесы, прядильные отходы и расщипанное сырье)</v>
          </cell>
        </row>
        <row r="854">
          <cell r="A854" t="str">
            <v xml:space="preserve"> 5810060001000</v>
          </cell>
          <cell r="B854" t="str">
            <v>Отходы растительного волокна (включая очесы, прядильные отходы и расщипанное сырье)</v>
          </cell>
        </row>
        <row r="855">
          <cell r="A855" t="str">
            <v xml:space="preserve"> 5810060112005</v>
          </cell>
          <cell r="B855" t="str">
            <v>Пух трепальный от льняной пряжи</v>
          </cell>
        </row>
        <row r="856">
          <cell r="A856" t="str">
            <v xml:space="preserve"> 5810060212005</v>
          </cell>
          <cell r="B856" t="str">
            <v>Путанка льняной пряжи и нитей</v>
          </cell>
        </row>
        <row r="857">
          <cell r="A857" t="str">
            <v xml:space="preserve"> 5810060301005</v>
          </cell>
          <cell r="B857" t="str">
            <v>Костра льняная</v>
          </cell>
        </row>
        <row r="858">
          <cell r="A858" t="str">
            <v xml:space="preserve"> 5810061111004</v>
          </cell>
          <cell r="B858" t="str">
            <v>Пыль хлопковая</v>
          </cell>
        </row>
        <row r="859">
          <cell r="A859" t="str">
            <v xml:space="preserve"> 5810070001005</v>
          </cell>
          <cell r="B859" t="str">
            <v>Отходы смешанного волокна</v>
          </cell>
        </row>
        <row r="860">
          <cell r="A860" t="str">
            <v xml:space="preserve"> 5810080013005</v>
          </cell>
          <cell r="B860" t="str">
            <v>Отходы веревок и канатов</v>
          </cell>
        </row>
        <row r="861">
          <cell r="A861" t="str">
            <v xml:space="preserve"> 5810100001005</v>
          </cell>
          <cell r="B861" t="str">
            <v>Обрезь валяльно-войлочной продукции</v>
          </cell>
        </row>
        <row r="862">
          <cell r="A862" t="str">
            <v xml:space="preserve"> 5810110001000</v>
          </cell>
          <cell r="B862" t="str">
            <v>Отходы тканей, старая одежда</v>
          </cell>
        </row>
        <row r="863">
          <cell r="A863" t="str">
            <v xml:space="preserve"> 5810110101995</v>
          </cell>
          <cell r="B863" t="str">
            <v>Обрезки и обрывки тканей из полиамидного волокна</v>
          </cell>
        </row>
        <row r="864">
          <cell r="A864" t="str">
            <v xml:space="preserve"> 5810110201995</v>
          </cell>
          <cell r="B864" t="str">
            <v>Обрезки и обрывки тканей из полиэфирного волокна</v>
          </cell>
        </row>
        <row r="865">
          <cell r="A865" t="str">
            <v xml:space="preserve"> 5810110301995</v>
          </cell>
          <cell r="B865" t="str">
            <v>Обрезки и обрывки тканей из полиакрилового волокна</v>
          </cell>
        </row>
        <row r="866">
          <cell r="A866" t="str">
            <v xml:space="preserve"> 5810110501995</v>
          </cell>
          <cell r="B866" t="str">
            <v>Обрезки и обрывки тканей шерстяных</v>
          </cell>
        </row>
        <row r="867">
          <cell r="A867" t="str">
            <v xml:space="preserve"> 5810110601995</v>
          </cell>
          <cell r="B867" t="str">
            <v>Обрезки и обрывки тканей льняных</v>
          </cell>
        </row>
        <row r="868">
          <cell r="A868" t="str">
            <v xml:space="preserve"> 5810110701995</v>
          </cell>
          <cell r="B868" t="str">
            <v>Обрезки и обрывки тканей хлопчатобумажных</v>
          </cell>
        </row>
        <row r="869">
          <cell r="A869" t="str">
            <v xml:space="preserve"> 5810110801995</v>
          </cell>
          <cell r="B869" t="str">
            <v>Обрезки и обрывки тканей смешанных</v>
          </cell>
        </row>
        <row r="870">
          <cell r="A870" t="str">
            <v xml:space="preserve"> 5820000000000</v>
          </cell>
          <cell r="B870" t="str">
            <v>Текстиль загрязненный</v>
          </cell>
        </row>
        <row r="871">
          <cell r="A871" t="str">
            <v xml:space="preserve"> 5900000000000</v>
          </cell>
          <cell r="B871" t="str">
            <v>Другие химические отходы</v>
          </cell>
        </row>
        <row r="872">
          <cell r="A872" t="str">
            <v xml:space="preserve"> 5910000000000</v>
          </cell>
          <cell r="B872" t="str">
            <v>Отходы взрывчатых веществ</v>
          </cell>
        </row>
        <row r="873">
          <cell r="A873" t="str">
            <v xml:space="preserve"> 5920000000000</v>
          </cell>
          <cell r="B873" t="str">
            <v>Отходы, содержащие металлоорганические соединения, не вошедшие в другие пункты</v>
          </cell>
        </row>
        <row r="874">
          <cell r="A874" t="str">
            <v xml:space="preserve"> 5920050004011</v>
          </cell>
          <cell r="B874" t="str">
            <v>Шлам, содержащий тетраэтилсвинец (антидетонационные присадки)</v>
          </cell>
        </row>
        <row r="875">
          <cell r="A875" t="str">
            <v xml:space="preserve"> 5930000000000</v>
          </cell>
          <cell r="B875" t="str">
            <v>Лабораторные отходы и остатки химикалиев</v>
          </cell>
        </row>
        <row r="876">
          <cell r="A876" t="str">
            <v xml:space="preserve"> 5940000000000</v>
          </cell>
          <cell r="B876" t="str">
            <v>Отходы чистящих и моющих средств</v>
          </cell>
        </row>
        <row r="877">
          <cell r="A877" t="str">
            <v xml:space="preserve"> 5950000000000</v>
          </cell>
          <cell r="B877" t="str">
            <v>Отходы катализаторов и контактных масс, не вошедших в другие пункты</v>
          </cell>
        </row>
        <row r="878">
          <cell r="A878" t="str">
            <v xml:space="preserve"> 5960000000000</v>
          </cell>
          <cell r="B878" t="str">
            <v>Сорбенты, не вошедшие в другие пункты</v>
          </cell>
        </row>
        <row r="879">
          <cell r="A879" t="str">
            <v xml:space="preserve"> 5980000000000</v>
          </cell>
          <cell r="B879" t="str">
            <v>Отходы упакованных газов</v>
          </cell>
        </row>
        <row r="880">
          <cell r="A880" t="str">
            <v xml:space="preserve"> 5990000000000</v>
          </cell>
          <cell r="B880" t="str">
            <v>Прочие отходы процессов образования и синтеза</v>
          </cell>
        </row>
        <row r="881">
          <cell r="A881" t="str">
            <v xml:space="preserve"> 5990010000011</v>
          </cell>
          <cell r="B881" t="str">
            <v>Отходы полихлорированных дифенилов и терфениов, полибромированных дифенилов, а также отходы веществ и изделий, их содержащих (исключая отходы синтетических и минеральных масел)</v>
          </cell>
        </row>
        <row r="882">
          <cell r="A882" t="str">
            <v xml:space="preserve"> 5990010113011</v>
          </cell>
          <cell r="B882" t="str">
            <v>Конденсаторы с трихлордифенилом отработанные</v>
          </cell>
        </row>
        <row r="883">
          <cell r="A883" t="str">
            <v xml:space="preserve"> 5990010213011</v>
          </cell>
          <cell r="B883" t="str">
            <v>Конденсаторы с пентохлордифенилом отработанные</v>
          </cell>
        </row>
        <row r="884">
          <cell r="A884" t="str">
            <v xml:space="preserve"> 5990010313011</v>
          </cell>
          <cell r="B884" t="str">
            <v>Трансформаторы с пентохлордифенилом отработанные</v>
          </cell>
        </row>
        <row r="885">
          <cell r="A885" t="str">
            <v xml:space="preserve"> 9000000000000</v>
          </cell>
          <cell r="B885" t="str">
            <v>Отходы коммунальные</v>
          </cell>
        </row>
        <row r="886">
          <cell r="A886" t="str">
            <v xml:space="preserve"> 9100000000000</v>
          </cell>
          <cell r="B886" t="str">
            <v>Твердые коммунальные отходы</v>
          </cell>
        </row>
        <row r="887">
          <cell r="A887" t="str">
            <v xml:space="preserve"> 9110000000000</v>
          </cell>
          <cell r="B887" t="str">
            <v>Отходы из жилищ</v>
          </cell>
        </row>
        <row r="888">
          <cell r="A888" t="str">
            <v xml:space="preserve"> 9110010001004</v>
          </cell>
          <cell r="B888" t="str">
            <v>Отходы из жилищ несортированные (исключая крупногабаритные)</v>
          </cell>
        </row>
        <row r="889">
          <cell r="A889" t="str">
            <v xml:space="preserve"> 9110020001005</v>
          </cell>
          <cell r="B889" t="str">
            <v>Отходы из жилищ крупногабаритные</v>
          </cell>
        </row>
        <row r="890">
          <cell r="A890" t="str">
            <v xml:space="preserve"> 9120000000000</v>
          </cell>
          <cell r="B890" t="str">
            <v>Отходы потребления на производстве, подобные коммунальным</v>
          </cell>
        </row>
        <row r="891">
          <cell r="A891" t="str">
            <v xml:space="preserve"> 9120040001004</v>
          </cell>
          <cell r="B891" t="str">
            <v>Мусор от бытовых помещений организаций несортированный (исключая крупногабаритный)</v>
          </cell>
        </row>
        <row r="892">
          <cell r="A892" t="str">
            <v xml:space="preserve"> 9120050001005</v>
          </cell>
          <cell r="B892" t="str">
            <v>Мусор от бытовых помещений организаций крупногабаритный</v>
          </cell>
        </row>
        <row r="893">
          <cell r="A893" t="str">
            <v xml:space="preserve"> 9120060001000</v>
          </cell>
          <cell r="B893" t="str">
            <v>Мусор строительный</v>
          </cell>
        </row>
        <row r="894">
          <cell r="A894" t="str">
            <v xml:space="preserve"> 9120060101004</v>
          </cell>
          <cell r="B894" t="str">
            <v>Мусор строительный от разборки зданий</v>
          </cell>
        </row>
        <row r="895">
          <cell r="A895" t="str">
            <v xml:space="preserve"> 9120100000000</v>
          </cell>
          <cell r="B895" t="str">
            <v>Отходы кухонь и предприятий общественного питания</v>
          </cell>
        </row>
        <row r="896">
          <cell r="A896" t="str">
            <v xml:space="preserve"> 9120100100005</v>
          </cell>
          <cell r="B896" t="str">
            <v>Пищевые отходы кухонь и организаций общественного питания несортированные</v>
          </cell>
        </row>
        <row r="897">
          <cell r="A897" t="str">
            <v xml:space="preserve"> 9120110001005</v>
          </cell>
          <cell r="B897" t="str">
            <v>Отходы (мусор) от уборки территории и помещений объектов оптово-розничной торговли продовольственными товарами</v>
          </cell>
        </row>
        <row r="898">
          <cell r="A898" t="str">
            <v xml:space="preserve"> 9120120001005</v>
          </cell>
          <cell r="B898" t="str">
            <v>Отходы (мусор) от уборки территории и помещений объектов оптово-розничной торговли промышленными товарами</v>
          </cell>
        </row>
        <row r="899">
          <cell r="A899" t="str">
            <v xml:space="preserve"> 9120130001005</v>
          </cell>
          <cell r="B899" t="str">
            <v>Отходы (мусор) от уборки территории и помещений учебно-воспитательных учреждений</v>
          </cell>
        </row>
        <row r="900">
          <cell r="A900" t="str">
            <v xml:space="preserve"> 9120140001005</v>
          </cell>
          <cell r="B900" t="str">
            <v>Отходы (мусор) от уборки территории и помещений культурно-спортивных учреждений и зрелищных мероприятий</v>
          </cell>
        </row>
        <row r="901">
          <cell r="A901" t="str">
            <v xml:space="preserve"> 9120150001005</v>
          </cell>
          <cell r="B901" t="str">
            <v>Отходы от уборки территорий кладбищ, колумбариев</v>
          </cell>
        </row>
        <row r="902">
          <cell r="A902" t="str">
            <v xml:space="preserve"> 9200000000000</v>
          </cell>
          <cell r="B902" t="str">
            <v>Отходы сложного комбинированного состава в виде изделий, оборудования, устройств, не вошедшие в другие пункты</v>
          </cell>
        </row>
        <row r="903">
          <cell r="A903" t="str">
            <v xml:space="preserve"> 9210000000000</v>
          </cell>
          <cell r="B903" t="str">
            <v>Электрическое оборудование, приборы, устройства и их части</v>
          </cell>
        </row>
        <row r="904">
          <cell r="A904" t="str">
            <v xml:space="preserve"> 9211000013000</v>
          </cell>
          <cell r="B904" t="str">
            <v>Отходы аккумуляторов</v>
          </cell>
        </row>
        <row r="905">
          <cell r="A905" t="str">
            <v xml:space="preserve"> 9211010013010</v>
          </cell>
          <cell r="B905" t="str">
            <v>Аккумуляторы свинцовые, отработанные и брак</v>
          </cell>
        </row>
        <row r="906">
          <cell r="A906" t="str">
            <v xml:space="preserve"> 9211010113012</v>
          </cell>
          <cell r="B906" t="str">
            <v>Аккумуляторы свинцовые отработанные неповрежденные, с неслитым электролитом</v>
          </cell>
        </row>
        <row r="907">
          <cell r="A907" t="str">
            <v xml:space="preserve"> 9211010213013</v>
          </cell>
          <cell r="B907" t="str">
            <v>Аккумуляторы свинцовые отработанные неразобранные, со слитым электролитом</v>
          </cell>
        </row>
        <row r="908">
          <cell r="A908" t="str">
            <v xml:space="preserve"> 9230000000000</v>
          </cell>
          <cell r="B908" t="str">
            <v>Лампы (накаливания, люминесцентные, электронные и др.), стекло с нанесенным люминофором,провода изолированные, кабели и другие изолированные электрические проводники</v>
          </cell>
        </row>
        <row r="909">
          <cell r="A909" t="str">
            <v xml:space="preserve"> 9231000001000</v>
          </cell>
          <cell r="B909" t="str">
            <v>Лампы электрические и электронные отработанные и брак</v>
          </cell>
        </row>
        <row r="910">
          <cell r="A910" t="str">
            <v xml:space="preserve"> 9231010001995</v>
          </cell>
          <cell r="B910" t="str">
            <v>Электрические лампы накаливания отработанные и брак</v>
          </cell>
        </row>
        <row r="911">
          <cell r="A911" t="str">
            <v xml:space="preserve"> 9236000013005</v>
          </cell>
          <cell r="B911" t="str">
            <v>Отходы изолированных проводов и кабелей</v>
          </cell>
        </row>
        <row r="912">
          <cell r="A912" t="str">
            <v xml:space="preserve"> 9236010013005</v>
          </cell>
          <cell r="B912" t="str">
            <v>Провод медный эмалированный, потерявший потребительские свойства</v>
          </cell>
        </row>
        <row r="913">
          <cell r="A913" t="str">
            <v xml:space="preserve"> 9236020001013</v>
          </cell>
          <cell r="B913" t="str">
            <v>Провод медный, покрытый никелем, незагрязненный, потерявший потребительские свойства</v>
          </cell>
        </row>
        <row r="914">
          <cell r="A914" t="str">
            <v xml:space="preserve"> 9236030013012</v>
          </cell>
          <cell r="B914" t="str">
            <v>Кабель медно-жильный освинцованный, потерявший потребительские свойства</v>
          </cell>
        </row>
        <row r="915">
          <cell r="A915" t="str">
            <v xml:space="preserve"> 9400000000000</v>
          </cell>
          <cell r="B915" t="str">
            <v>Отходы от водоподготовки, обработки сточных вод и использования воды</v>
          </cell>
        </row>
        <row r="916">
          <cell r="A916" t="str">
            <v xml:space="preserve"> 9410000000000</v>
          </cell>
          <cell r="B916" t="str">
            <v>Отходы (осадки) при подготовке воды</v>
          </cell>
        </row>
        <row r="917">
          <cell r="A917" t="str">
            <v xml:space="preserve"> 9430000000000</v>
          </cell>
          <cell r="B917" t="str">
            <v>Отходы (осадки) при механической и биологической очистке сточных вод</v>
          </cell>
        </row>
        <row r="918">
          <cell r="A918" t="str">
            <v xml:space="preserve"> 9450000000000</v>
          </cell>
          <cell r="B918" t="str">
            <v>Отходы (осадки) от реагентной очистки сточных вод</v>
          </cell>
        </row>
        <row r="919">
          <cell r="A919" t="str">
            <v xml:space="preserve"> 9470000000000</v>
          </cell>
          <cell r="B919" t="str">
            <v>Отходы (осадки) при промывке канализационных сетей</v>
          </cell>
        </row>
        <row r="920">
          <cell r="A920" t="str">
            <v xml:space="preserve"> 9480000000000</v>
          </cell>
          <cell r="B920" t="str">
            <v>Отходы (осадки) при обработке сточных вод, не вошедшие в другие позиции</v>
          </cell>
        </row>
        <row r="921">
          <cell r="A921" t="str">
            <v xml:space="preserve"> 9490000000000</v>
          </cell>
          <cell r="B921" t="str">
            <v>Отходы от водоэксплуатации</v>
          </cell>
        </row>
        <row r="922">
          <cell r="A922" t="str">
            <v xml:space="preserve"> 9490010001005</v>
          </cell>
          <cell r="B922" t="str">
            <v>Мусор с защитных решеток при водозаборе</v>
          </cell>
        </row>
        <row r="923">
          <cell r="A923" t="str">
            <v xml:space="preserve"> 9490020001005</v>
          </cell>
          <cell r="B923" t="str">
            <v>Мусор с защитных решеток электростанций</v>
          </cell>
        </row>
        <row r="924">
          <cell r="A924" t="str">
            <v xml:space="preserve"> 9500000000000</v>
          </cell>
          <cell r="B924" t="str">
            <v>Жидкие отходы очистных сооружений</v>
          </cell>
        </row>
        <row r="925">
          <cell r="A925" t="str">
            <v xml:space="preserve"> 9510000000000</v>
          </cell>
          <cell r="B925" t="str">
            <v>Отходы (осадки) из выгребных ям и хозяйственно- бытовые стоки</v>
          </cell>
        </row>
        <row r="926">
          <cell r="A926" t="str">
            <v xml:space="preserve"> 9530000000000</v>
          </cell>
          <cell r="B926" t="str">
            <v>Инфильтрационные воды объектов размещения отходов</v>
          </cell>
        </row>
        <row r="927">
          <cell r="A927" t="str">
            <v xml:space="preserve"> 9540000000000</v>
          </cell>
          <cell r="B927" t="str">
            <v>Жидкие отходы термической обработки отходов и от топочных установок</v>
          </cell>
        </row>
        <row r="928">
          <cell r="A928" t="str">
            <v xml:space="preserve"> 9700000000000</v>
          </cell>
          <cell r="B928" t="str">
            <v>Медицинские отходы (больниц и лечебно-оздоровительных учреждений)</v>
          </cell>
        </row>
        <row r="929">
          <cell r="A929" t="str">
            <v xml:space="preserve"> 9710000000000</v>
          </cell>
          <cell r="B929" t="str">
            <v>Медицинские отходы</v>
          </cell>
        </row>
        <row r="930">
          <cell r="A930" t="str">
            <v xml:space="preserve"> 9900000000000</v>
          </cell>
          <cell r="B930" t="str">
            <v>Прочие  коммунальные  отходы</v>
          </cell>
        </row>
      </sheetData>
      <sheetData sheetId="3" refreshError="1"/>
      <sheetData sheetId="4" refreshError="1"/>
      <sheetData sheetId="5">
        <row r="2">
          <cell r="D2">
            <v>1739.2</v>
          </cell>
        </row>
        <row r="3">
          <cell r="D3">
            <v>745.4</v>
          </cell>
        </row>
        <row r="4">
          <cell r="D4">
            <v>497</v>
          </cell>
        </row>
        <row r="5">
          <cell r="D5">
            <v>248.4</v>
          </cell>
        </row>
        <row r="6">
          <cell r="D6">
            <v>0.4</v>
          </cell>
        </row>
        <row r="7">
          <cell r="D7">
            <v>15</v>
          </cell>
        </row>
        <row r="8">
          <cell r="D8">
            <v>8</v>
          </cell>
        </row>
      </sheetData>
      <sheetData sheetId="6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11">
          <cell r="F11">
            <v>1.4</v>
          </cell>
        </row>
        <row r="12">
          <cell r="F12">
            <v>1.3</v>
          </cell>
        </row>
        <row r="13">
          <cell r="F13">
            <v>1.6</v>
          </cell>
        </row>
        <row r="14">
          <cell r="F14">
            <v>1.5</v>
          </cell>
        </row>
        <row r="15">
          <cell r="F15">
            <v>2</v>
          </cell>
        </row>
        <row r="16">
          <cell r="F16">
            <v>1.9</v>
          </cell>
        </row>
        <row r="17">
          <cell r="F17">
            <v>1.9</v>
          </cell>
        </row>
        <row r="18">
          <cell r="F18">
            <v>1.7</v>
          </cell>
        </row>
        <row r="19">
          <cell r="F19">
            <v>1.2</v>
          </cell>
        </row>
        <row r="20">
          <cell r="F20">
            <v>1.1000000000000001</v>
          </cell>
        </row>
        <row r="21">
          <cell r="F21">
            <v>1.1000000000000001</v>
          </cell>
        </row>
        <row r="22">
          <cell r="F22">
            <v>1.3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КС под РЭК"/>
      <sheetName val="БКС под РЭК (2)"/>
      <sheetName val="Закупки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уль1"/>
      <sheetName val="Gal_VarSheet"/>
      <sheetName val="Gal_TblSheet"/>
      <sheetName val="Отчет"/>
      <sheetName val="Отчет-33"/>
      <sheetName val="Отчет-333"/>
      <sheetName val="Отчет-2"/>
      <sheetName val="Отчет-22"/>
      <sheetName val="Отчет-222"/>
      <sheetName val="Отчет-3"/>
      <sheetName val="Отчет-4"/>
      <sheetName val="Отчет-5"/>
      <sheetName val="Отчет-6"/>
      <sheetName val="Отчет-7"/>
      <sheetName val="общее за 2011 (2)"/>
      <sheetName val="всего"/>
      <sheetName val="тепло"/>
      <sheetName val="вик"/>
      <sheetName val="ОБЩЕ (2)"/>
      <sheetName val="ОБЩЕ"/>
      <sheetName val="общее на 30,06"/>
      <sheetName val="тепло НА 30,06"/>
      <sheetName val="вик на 30.06"/>
      <sheetName val="тепло НА 2010)"/>
      <sheetName val="вик на 2010)"/>
      <sheetName val="общее за 2010"/>
      <sheetName val="тепло НА 2011"/>
      <sheetName val="вик на 2011"/>
      <sheetName val="общее за 2011"/>
      <sheetName val="накопл амортиз  тариф"/>
      <sheetName val="Табл п.7.1 руб."/>
      <sheetName val="Табл п.7.1 тыс.руб."/>
      <sheetName val="накопл амортиз посл (2)"/>
      <sheetName val="накопл амортиз"/>
      <sheetName val="Отчет-9"/>
      <sheetName val="Отчет-9(бел)"/>
      <sheetName val="Отчет-10"/>
      <sheetName val="Отчет-100"/>
      <sheetName val="Отчет-11"/>
      <sheetName val="Отчет-12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мете на сод соц обьектов"/>
      <sheetName val="здравпункт"/>
      <sheetName val="база"/>
      <sheetName val="дом приезжих"/>
      <sheetName val="общепит"/>
      <sheetName val="общеп 1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предприятие"/>
      <sheetName val="А5"/>
      <sheetName val="реестр отгруз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талог"/>
      <sheetName val="Лист1"/>
      <sheetName val="Товарный баланс 2001г."/>
      <sheetName val="Себест-ть факт за 2001г."/>
      <sheetName val="Факт прочие расходы 2001г."/>
      <sheetName val="Расход элэн 2001г."/>
      <sheetName val="Расход ВМ 2001 г."/>
      <sheetName val="Расход ГСМ 2001г."/>
      <sheetName val="Расход запчастей за 2001 год"/>
      <sheetName val="План. потребн. запчастей 2001г"/>
      <sheetName val="Расход канатов 2001г."/>
      <sheetName val="расчет потреб.в канатах октябрь"/>
      <sheetName val="Потреб. в канатах 2001г."/>
      <sheetName val="Потреб. в ЗУБЬЯХ на 2001г."/>
      <sheetName val="Расход прочих мат.2001г"/>
      <sheetName val="План. потребно. на 2001 год"/>
      <sheetName val="Лист2"/>
      <sheetName val="Лист2 (2)"/>
      <sheetName val="Лист2 (3)"/>
      <sheetName val="Лист3"/>
      <sheetName val="Расш. вспом. мат. 1 и 2кв."/>
      <sheetName val="расш. вспом. мат. 2кв."/>
      <sheetName val="расш. вспом. мат.3кв."/>
      <sheetName val="ГСМ 2001г ак№2"/>
      <sheetName val="ГСМ 2001г почас"/>
      <sheetName val="ГСМ 2001г. ПТЦ"/>
      <sheetName val="ГСМ 2001г.ТБУ"/>
      <sheetName val="ГСМ 2001г. БР"/>
      <sheetName val="ГСМ 2001г ак№1"/>
      <sheetName val="ГСМ РМУ на2001г."/>
      <sheetName val="Сводная таблица ГСМ 2001г"/>
      <sheetName val="Лист4"/>
      <sheetName val="Лист5"/>
      <sheetName val="с-ть 2001 год"/>
      <sheetName val="Прогн. с-ть 2001г. 1и2 кв."/>
      <sheetName val=". с-ть 2001г. 2 кв."/>
      <sheetName val="Прогн. с-ть 2001 3 и 4 кв."/>
      <sheetName val="Прогн. с-ть 2001 3кв.01г."/>
      <sheetName val="Расчет элэн бланк"/>
      <sheetName val="Прогноз прочих 2001-2005г"/>
      <sheetName val="Лист7"/>
      <sheetName val="Расчет ВМ 3кв"/>
      <sheetName val="Лист8"/>
      <sheetName val="Промуслуги за м-ц"/>
      <sheetName val="Бланк пром услуг"/>
      <sheetName val="Бланк пром услуг2кв"/>
      <sheetName val="Пром услуги проект 2001"/>
      <sheetName val="Пром услуги проект 3кв 01 г."/>
      <sheetName val="Прочие  ден. бланк"/>
      <sheetName val="Прочие  ден. 2001 г."/>
      <sheetName val="Прочие  ден. 3 ,4 кв2001 г."/>
      <sheetName val="Лист13"/>
      <sheetName val="Лист14"/>
      <sheetName val="Пр. денеж. за1 и2 кв.2001г."/>
      <sheetName val="Пр. денеж. за2 кв.2001г."/>
      <sheetName val="Пр. денеж.на 3 кв.2001г."/>
      <sheetName val="СЕБ. 2001,2002"/>
      <sheetName val="прочие денеж.2002"/>
      <sheetName val="услуги пром.хар.2002"/>
      <sheetName val="расшиф.вспомог.матер.2002"/>
      <sheetName val="ВВ Эл.энергия2002"/>
      <sheetName val="черновик"/>
      <sheetName val="СЕБ. 2002"/>
      <sheetName val="канцелярские расчет"/>
      <sheetName val="прочие ден.2002"/>
      <sheetName val="услуги 2002"/>
      <sheetName val="электроэн.2002"/>
      <sheetName val="вспом.2002"/>
      <sheetName val=".ВВ 2002"/>
      <sheetName val="расчет расхода матер.2002"/>
      <sheetName val="Лист15 (2)"/>
      <sheetName val="Лист15 (3)"/>
      <sheetName val="Вспом.мат. на 1,2 кв.2001г."/>
      <sheetName val="Вспом.мат. на2 кв.2001г."/>
      <sheetName val="Лист16"/>
      <sheetName val="Налоги 2001 год по мес"/>
      <sheetName val="Налоги 2001 год "/>
      <sheetName val="Лист17"/>
      <sheetName val="Лист18"/>
      <sheetName val="спец.одежда 2001"/>
      <sheetName val=""/>
      <sheetName val="ЗП"/>
      <sheetName val="зар.пл"/>
      <sheetName val="прочие"/>
      <sheetName val="внепроиз-е"/>
      <sheetName val="ВВ"/>
      <sheetName val="Эл.,топл"/>
      <sheetName val="с-ть2л"/>
      <sheetName val="с-ть1л"/>
      <sheetName val="Калькуляция"/>
      <sheetName val="3кв03 с увл цены 5%"/>
      <sheetName val="АнализГод "/>
      <sheetName val="Анализ"/>
      <sheetName val="Диагр"/>
      <sheetName val="КвПлан"/>
      <sheetName val="Прогноз"/>
      <sheetName val="Прогн."/>
      <sheetName val="ФинВвод"/>
      <sheetName val="Лист9"/>
      <sheetName val="Лист10"/>
      <sheetName val="Лист11"/>
      <sheetName val="Лист12"/>
      <sheetName val="Лист15"/>
      <sheetName val="Лист19"/>
      <sheetName val="Лист20"/>
      <sheetName val="Лист21"/>
      <sheetName val="Лист22"/>
      <sheetName val="Лист23"/>
      <sheetName val="Лист24"/>
      <sheetName val="Лист25"/>
      <sheetName val="3П-ФБ"/>
      <sheetName val="#ССЫЛКА"/>
      <sheetName val="[себестоимость.xls滤Лист1"/>
      <sheetName val="ед.пос песион"/>
      <sheetName val="День шах"/>
      <sheetName val="8-еМар"/>
      <sheetName val="мат.пом"/>
      <sheetName val="Пут.курорт"/>
      <sheetName val="Отдых д."/>
      <sheetName val="хоз товар м.п"/>
      <sheetName val="хоз товар"/>
      <sheetName val="моющие сред м.п"/>
      <sheetName val="мою сред.столов"/>
      <sheetName val="Использ прибыли"/>
      <sheetName val="Соц. льготы"/>
      <sheetName val="Столовая"/>
      <sheetName val="Здрав "/>
      <sheetName val="Соц. льготы (2)"/>
      <sheetName val="янв"/>
      <sheetName val="февр"/>
      <sheetName val="март"/>
      <sheetName val="2кв."/>
      <sheetName val="3кв."/>
      <sheetName val="4кв.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#REF"/>
      <sheetName val="год неточ"/>
      <sheetName val="1 кв неточ"/>
      <sheetName val="2 кв неточ "/>
      <sheetName val=" 3 кв"/>
      <sheetName val=" 4 кв "/>
      <sheetName val="срав с бюдж"/>
      <sheetName val="Ра흁ет элэн бланк"/>
      <sheetName val="СЕБ. 2001,20㬰"/>
      <sheetName val="раѢиф.вспомог.матер.2002"/>
      <sheetName val="год 䌽䐀точ"/>
      <sheetName val="1 кв "/>
      <sheetName val="2 кв "/>
      <sheetName val="3 кв "/>
      <sheetName val="4 кв "/>
      <sheetName val="2007 год "/>
      <sheetName val="затраты переноса план"/>
      <sheetName val="1 квартал"/>
      <sheetName val="январь"/>
      <sheetName val="февраль"/>
      <sheetName val="2 кв"/>
      <sheetName val="апрель"/>
      <sheetName val="май"/>
      <sheetName val="июнь"/>
      <sheetName val="3 кв"/>
      <sheetName val="июль"/>
      <sheetName val="август"/>
      <sheetName val="сентябрь"/>
      <sheetName val=" 4 квартал"/>
      <sheetName val="октябрь"/>
      <sheetName val="ноябрь"/>
      <sheetName val="декабрь"/>
      <sheetName val="Себестоимость"/>
      <sheetName val="Служебный"/>
      <sheetName val="Цело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ое"/>
      <sheetName val="Тепло"/>
      <sheetName val="ВиК"/>
      <sheetName val="В"/>
      <sheetName val="К"/>
      <sheetName val="Служебный"/>
    </sheetNames>
    <sheetDataSet>
      <sheetData sheetId="0">
        <row r="7">
          <cell r="B7">
            <v>1.73</v>
          </cell>
          <cell r="C7">
            <v>2.0099999999999998</v>
          </cell>
          <cell r="D7">
            <v>1.903</v>
          </cell>
          <cell r="E7">
            <v>2.2913999999999994</v>
          </cell>
        </row>
        <row r="8">
          <cell r="B8">
            <v>1.82</v>
          </cell>
          <cell r="C8">
            <v>2.12</v>
          </cell>
          <cell r="D8">
            <v>2.0020000000000002</v>
          </cell>
          <cell r="E8">
            <v>2.4167999999999998</v>
          </cell>
        </row>
        <row r="9">
          <cell r="D9">
            <v>0.4</v>
          </cell>
          <cell r="E9">
            <v>0.6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БДДС"/>
      <sheetName val="БДР"/>
      <sheetName val="АХР"/>
      <sheetName val=" май"/>
      <sheetName val=" 5 месяцев"/>
      <sheetName val=" июнь"/>
      <sheetName val=" 2 квартал"/>
      <sheetName val="6 месяцев"/>
      <sheetName val=" 7 месяцев"/>
      <sheetName val=" июль"/>
      <sheetName val=" август"/>
      <sheetName val=" сентябрь"/>
      <sheetName val="3 квартал"/>
      <sheetName val="октябрь"/>
      <sheetName val="ноябрь"/>
      <sheetName val="декабрь"/>
      <sheetName val="4 квартал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Добыча"/>
      <sheetName val="Товар"/>
      <sheetName val="Персонал"/>
      <sheetName val="себестоимость"/>
      <sheetName val="ИК СОК"/>
      <sheetName val="ИК СОК (2)"/>
      <sheetName val="себестоимость (проц. обогащ)"/>
      <sheetName val="ПЭБ-1-08-П "/>
      <sheetName val="ПЭБ-3-01-П "/>
      <sheetName val="ПЭБ-1-07-П"/>
      <sheetName val="ПЭБ-1-06-П (2005 г)"/>
      <sheetName val="ФОРМА"/>
      <sheetName val="ИП"/>
      <sheetName val="Номенклатура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Экспорт"/>
      <sheetName val="Лист2"/>
      <sheetName val="База"/>
      <sheetName val="Отчет отгрузка"/>
      <sheetName val="Отчет оплата"/>
      <sheetName val="Отчет дебиторка"/>
      <sheetName val="Отчет прибыль"/>
      <sheetName val="Отчет отгрузка по операторам"/>
      <sheetName val="Отчет оплата по операторам"/>
      <sheetName val="Отчет дебиторка по операторам"/>
      <sheetName val="Отчет прибыль по операторам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Курс"/>
    </sheetNames>
    <sheetDataSet>
      <sheetData sheetId="0" refreshError="1">
        <row r="1">
          <cell r="B1">
            <v>37528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#REF"/>
      <sheetName val="Закупки"/>
      <sheetName val="Исход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тгрузка"/>
      <sheetName val="оплата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ставки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наша"/>
      <sheetName val="операционные"/>
      <sheetName val="Физика на 2015 "/>
      <sheetName val="факт 2014 года"/>
    </sheetNames>
    <sheetDataSet>
      <sheetData sheetId="0">
        <row r="49">
          <cell r="L49">
            <v>1206.5526399999999</v>
          </cell>
        </row>
        <row r="77">
          <cell r="L77">
            <v>1206.5526399999999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П ЖКУ"/>
      <sheetName val="физика 2015"/>
      <sheetName val="физика 2016"/>
      <sheetName val="операционные"/>
      <sheetName val="Теплоноситель "/>
      <sheetName val="   услуги промхарактера"/>
    </sheetNames>
    <sheetDataSet>
      <sheetData sheetId="0">
        <row r="82">
          <cell r="M82">
            <v>93143.944940864792</v>
          </cell>
        </row>
      </sheetData>
      <sheetData sheetId="1" refreshError="1"/>
      <sheetData sheetId="2"/>
      <sheetData sheetId="3"/>
      <sheetData sheetId="4">
        <row r="52">
          <cell r="F52">
            <v>33.337869830816139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116"/>
  <sheetViews>
    <sheetView tabSelected="1" view="pageBreakPreview" zoomScale="80" zoomScaleNormal="100" zoomScaleSheetLayoutView="80" workbookViewId="0">
      <pane xSplit="6" ySplit="16" topLeftCell="G65" activePane="bottomRight" state="frozen"/>
      <selection pane="topRight" activeCell="G1" sqref="G1"/>
      <selection pane="bottomLeft" activeCell="A16" sqref="A16"/>
      <selection pane="bottomRight" activeCell="V100" sqref="V100"/>
    </sheetView>
  </sheetViews>
  <sheetFormatPr defaultRowHeight="15"/>
  <cols>
    <col min="5" max="5" width="49.85546875" customWidth="1"/>
    <col min="6" max="6" width="15" customWidth="1"/>
    <col min="7" max="7" width="14.140625" customWidth="1"/>
    <col min="8" max="8" width="14.42578125" customWidth="1"/>
    <col min="9" max="9" width="13.28515625" style="1" customWidth="1"/>
    <col min="10" max="10" width="15.140625" style="1" customWidth="1"/>
    <col min="11" max="11" width="15.5703125" style="1" hidden="1" customWidth="1"/>
    <col min="12" max="12" width="15.140625" style="1" hidden="1" customWidth="1"/>
    <col min="13" max="13" width="15.5703125" style="1" hidden="1" customWidth="1"/>
    <col min="14" max="15" width="14.42578125" style="1" hidden="1" customWidth="1"/>
    <col min="16" max="17" width="15.140625" style="1" hidden="1" customWidth="1"/>
    <col min="18" max="18" width="15.42578125" style="1" hidden="1" customWidth="1"/>
    <col min="19" max="19" width="13.85546875" style="1" hidden="1" customWidth="1"/>
  </cols>
  <sheetData>
    <row r="1" spans="1:19" ht="20.25" customHeight="1">
      <c r="A1" s="683" t="s">
        <v>336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</row>
    <row r="2" spans="1:19" hidden="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6"/>
      <c r="L2" s="306"/>
      <c r="M2" s="307"/>
      <c r="N2" s="307"/>
      <c r="O2" s="307"/>
      <c r="P2" s="307"/>
      <c r="Q2" s="307"/>
      <c r="R2" s="307"/>
      <c r="S2" s="307"/>
    </row>
    <row r="3" spans="1:19" hidden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6"/>
      <c r="L3" s="306"/>
      <c r="M3" s="307"/>
      <c r="N3" s="307"/>
      <c r="O3" s="307"/>
      <c r="P3" s="307"/>
      <c r="Q3" s="307"/>
      <c r="R3" s="307"/>
      <c r="S3" s="307"/>
    </row>
    <row r="4" spans="1:19" ht="18.75">
      <c r="A4" s="682" t="s">
        <v>337</v>
      </c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</row>
    <row r="5" spans="1:19" ht="0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08"/>
      <c r="L5" s="93"/>
    </row>
    <row r="6" spans="1:19" hidden="1">
      <c r="A6" s="697"/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</row>
    <row r="7" spans="1:19" hidden="1">
      <c r="A7" s="54"/>
      <c r="B7" s="54"/>
      <c r="C7" s="54"/>
      <c r="D7" s="54"/>
      <c r="E7" s="54"/>
      <c r="F7" s="54"/>
      <c r="G7" s="308"/>
      <c r="H7" s="308"/>
      <c r="I7" s="93"/>
      <c r="J7" s="93"/>
      <c r="K7" s="308"/>
      <c r="L7" s="93"/>
    </row>
    <row r="8" spans="1:19" hidden="1">
      <c r="A8" s="54"/>
      <c r="B8" s="54"/>
      <c r="C8" s="54"/>
      <c r="D8" s="54"/>
      <c r="E8" s="54"/>
      <c r="F8" s="54"/>
      <c r="G8" s="308"/>
      <c r="H8" s="308"/>
      <c r="I8" s="93"/>
      <c r="J8" s="93"/>
      <c r="K8" s="308"/>
      <c r="L8" s="93"/>
    </row>
    <row r="9" spans="1:19" ht="6" customHeight="1" thickBot="1">
      <c r="A9" s="54"/>
      <c r="B9" s="54"/>
      <c r="C9" s="54"/>
      <c r="D9" s="54"/>
      <c r="E9" s="54"/>
      <c r="F9" s="54"/>
      <c r="G9" s="308"/>
      <c r="H9" s="308"/>
      <c r="I9" s="93"/>
      <c r="J9" s="93"/>
      <c r="K9" s="308"/>
      <c r="L9" s="93" t="e">
        <f>#REF!/#REF!</f>
        <v>#REF!</v>
      </c>
    </row>
    <row r="10" spans="1:19" ht="15.75" customHeight="1">
      <c r="A10" s="714" t="s">
        <v>0</v>
      </c>
      <c r="B10" s="717" t="s">
        <v>1</v>
      </c>
      <c r="C10" s="718"/>
      <c r="D10" s="718"/>
      <c r="E10" s="719"/>
      <c r="F10" s="726" t="s">
        <v>2</v>
      </c>
      <c r="G10" s="702" t="s">
        <v>222</v>
      </c>
      <c r="H10" s="702" t="s">
        <v>214</v>
      </c>
      <c r="I10" s="702" t="s">
        <v>224</v>
      </c>
      <c r="J10" s="702" t="s">
        <v>338</v>
      </c>
      <c r="K10" s="702" t="s">
        <v>231</v>
      </c>
      <c r="L10" s="732" t="s">
        <v>230</v>
      </c>
      <c r="M10" s="733"/>
      <c r="N10" s="734"/>
      <c r="O10" s="457"/>
      <c r="P10" s="702" t="s">
        <v>232</v>
      </c>
      <c r="Q10" s="732" t="s">
        <v>233</v>
      </c>
      <c r="R10" s="733"/>
      <c r="S10" s="738"/>
    </row>
    <row r="11" spans="1:19" ht="6" hidden="1" customHeight="1">
      <c r="A11" s="715"/>
      <c r="B11" s="720"/>
      <c r="C11" s="721"/>
      <c r="D11" s="721"/>
      <c r="E11" s="722"/>
      <c r="F11" s="727"/>
      <c r="G11" s="703"/>
      <c r="H11" s="703"/>
      <c r="I11" s="703"/>
      <c r="J11" s="703"/>
      <c r="K11" s="703"/>
      <c r="L11" s="735"/>
      <c r="M11" s="736"/>
      <c r="N11" s="737"/>
      <c r="O11" s="463"/>
      <c r="P11" s="703"/>
      <c r="Q11" s="735"/>
      <c r="R11" s="736"/>
      <c r="S11" s="739"/>
    </row>
    <row r="12" spans="1:19" ht="15.75" customHeight="1">
      <c r="A12" s="715"/>
      <c r="B12" s="720"/>
      <c r="C12" s="721"/>
      <c r="D12" s="721"/>
      <c r="E12" s="722"/>
      <c r="F12" s="727"/>
      <c r="G12" s="703"/>
      <c r="H12" s="703"/>
      <c r="I12" s="703"/>
      <c r="J12" s="703"/>
      <c r="K12" s="703"/>
      <c r="L12" s="698" t="s">
        <v>227</v>
      </c>
      <c r="M12" s="698" t="s">
        <v>228</v>
      </c>
      <c r="N12" s="699" t="s">
        <v>229</v>
      </c>
      <c r="O12" s="458"/>
      <c r="P12" s="703"/>
      <c r="Q12" s="698" t="s">
        <v>234</v>
      </c>
      <c r="R12" s="698" t="s">
        <v>235</v>
      </c>
      <c r="S12" s="729" t="s">
        <v>236</v>
      </c>
    </row>
    <row r="13" spans="1:19" ht="15" customHeight="1">
      <c r="A13" s="715"/>
      <c r="B13" s="720"/>
      <c r="C13" s="721"/>
      <c r="D13" s="721"/>
      <c r="E13" s="722"/>
      <c r="F13" s="727"/>
      <c r="G13" s="703"/>
      <c r="H13" s="703"/>
      <c r="I13" s="703"/>
      <c r="J13" s="703"/>
      <c r="K13" s="703"/>
      <c r="L13" s="698"/>
      <c r="M13" s="698"/>
      <c r="N13" s="700"/>
      <c r="O13" s="458"/>
      <c r="P13" s="703"/>
      <c r="Q13" s="698"/>
      <c r="R13" s="698"/>
      <c r="S13" s="730"/>
    </row>
    <row r="14" spans="1:19" ht="27" customHeight="1">
      <c r="A14" s="716"/>
      <c r="B14" s="723"/>
      <c r="C14" s="724"/>
      <c r="D14" s="724"/>
      <c r="E14" s="725"/>
      <c r="F14" s="728"/>
      <c r="G14" s="704"/>
      <c r="H14" s="704"/>
      <c r="I14" s="704"/>
      <c r="J14" s="704"/>
      <c r="K14" s="704"/>
      <c r="L14" s="698"/>
      <c r="M14" s="698"/>
      <c r="N14" s="701"/>
      <c r="O14" s="459"/>
      <c r="P14" s="704"/>
      <c r="Q14" s="698"/>
      <c r="R14" s="698"/>
      <c r="S14" s="731"/>
    </row>
    <row r="15" spans="1:19" ht="15.75">
      <c r="A15" s="350">
        <v>1</v>
      </c>
      <c r="B15" s="705">
        <v>2</v>
      </c>
      <c r="C15" s="706"/>
      <c r="D15" s="706"/>
      <c r="E15" s="707"/>
      <c r="F15" s="8">
        <v>3</v>
      </c>
      <c r="G15" s="8">
        <v>4</v>
      </c>
      <c r="H15" s="8">
        <v>5</v>
      </c>
      <c r="I15" s="8">
        <v>6</v>
      </c>
      <c r="J15" s="8">
        <v>7</v>
      </c>
      <c r="K15" s="8">
        <v>12</v>
      </c>
      <c r="L15" s="8">
        <v>13</v>
      </c>
      <c r="M15" s="8">
        <v>14</v>
      </c>
      <c r="N15" s="8">
        <v>15</v>
      </c>
      <c r="O15" s="8"/>
      <c r="P15" s="8">
        <v>16</v>
      </c>
      <c r="Q15" s="8">
        <v>17</v>
      </c>
      <c r="R15" s="8">
        <v>18</v>
      </c>
      <c r="S15" s="351">
        <v>19</v>
      </c>
    </row>
    <row r="16" spans="1:19" ht="15.75" hidden="1" customHeight="1">
      <c r="A16" s="352"/>
      <c r="B16" s="9"/>
      <c r="C16" s="4"/>
      <c r="D16" s="4"/>
      <c r="E16" s="4"/>
      <c r="F16" s="3"/>
      <c r="G16" s="3"/>
      <c r="H16" s="3"/>
      <c r="I16" s="3"/>
      <c r="J16" s="3"/>
      <c r="K16" s="95"/>
      <c r="L16" s="94"/>
      <c r="M16" s="94"/>
      <c r="N16" s="94"/>
      <c r="O16" s="94"/>
      <c r="P16" s="94"/>
      <c r="Q16" s="94"/>
      <c r="R16" s="94"/>
      <c r="S16" s="353"/>
    </row>
    <row r="17" spans="1:19" ht="15.75">
      <c r="A17" s="354"/>
      <c r="B17" s="10" t="s">
        <v>3</v>
      </c>
      <c r="C17" s="11"/>
      <c r="D17" s="11"/>
      <c r="E17" s="11"/>
      <c r="F17" s="6"/>
      <c r="G17" s="57">
        <v>5</v>
      </c>
      <c r="H17" s="57">
        <v>5</v>
      </c>
      <c r="I17" s="57">
        <v>5</v>
      </c>
      <c r="J17" s="57">
        <v>5</v>
      </c>
      <c r="K17" s="57">
        <v>5</v>
      </c>
      <c r="L17" s="57">
        <v>1</v>
      </c>
      <c r="M17" s="57">
        <v>1</v>
      </c>
      <c r="N17" s="57">
        <v>1</v>
      </c>
      <c r="O17" s="57"/>
      <c r="P17" s="57">
        <v>5</v>
      </c>
      <c r="Q17" s="57"/>
      <c r="R17" s="57"/>
      <c r="S17" s="355">
        <v>1</v>
      </c>
    </row>
    <row r="18" spans="1:19" ht="15.75">
      <c r="A18" s="354"/>
      <c r="B18" s="10" t="s">
        <v>216</v>
      </c>
      <c r="C18" s="11"/>
      <c r="D18" s="11"/>
      <c r="E18" s="11"/>
      <c r="F18" s="95" t="s">
        <v>4</v>
      </c>
      <c r="G18" s="63">
        <f>G19+G25</f>
        <v>7615.8</v>
      </c>
      <c r="H18" s="63">
        <f>H19+H25</f>
        <v>7615.8</v>
      </c>
      <c r="I18" s="63">
        <f>I19+I25</f>
        <v>7615.8</v>
      </c>
      <c r="J18" s="63">
        <f>J19+J25</f>
        <v>8013.49</v>
      </c>
      <c r="K18" s="61"/>
      <c r="L18" s="61"/>
      <c r="M18" s="61"/>
      <c r="N18" s="61">
        <f>(L18+M18)/2</f>
        <v>0</v>
      </c>
      <c r="O18" s="61"/>
      <c r="P18" s="61"/>
      <c r="Q18" s="61"/>
      <c r="R18" s="61"/>
      <c r="S18" s="356">
        <f>S19+S25</f>
        <v>0</v>
      </c>
    </row>
    <row r="19" spans="1:19" ht="15.75">
      <c r="A19" s="354"/>
      <c r="B19" s="10" t="s">
        <v>5</v>
      </c>
      <c r="C19" s="11"/>
      <c r="D19" s="11"/>
      <c r="E19" s="11"/>
      <c r="F19" s="95" t="s">
        <v>6</v>
      </c>
      <c r="G19" s="92">
        <f>G20+G24</f>
        <v>5746.1</v>
      </c>
      <c r="H19" s="92">
        <f>H20+H24</f>
        <v>5746.1</v>
      </c>
      <c r="I19" s="92">
        <f>I20+I24</f>
        <v>5746.1</v>
      </c>
      <c r="J19" s="92">
        <v>6046.72</v>
      </c>
      <c r="K19" s="62"/>
      <c r="L19" s="58"/>
      <c r="M19" s="62"/>
      <c r="N19" s="61">
        <f>(L19+M19)/2</f>
        <v>0</v>
      </c>
      <c r="O19" s="62"/>
      <c r="P19" s="62"/>
      <c r="Q19" s="62"/>
      <c r="R19" s="62"/>
      <c r="S19" s="357">
        <f>S20+S24</f>
        <v>0</v>
      </c>
    </row>
    <row r="20" spans="1:19" ht="15.75">
      <c r="A20" s="354"/>
      <c r="B20" s="10" t="s">
        <v>7</v>
      </c>
      <c r="C20" s="11"/>
      <c r="D20" s="11"/>
      <c r="E20" s="11"/>
      <c r="F20" s="95" t="s">
        <v>6</v>
      </c>
      <c r="G20" s="92">
        <f>SUM(G21:G23)</f>
        <v>5746.1</v>
      </c>
      <c r="H20" s="92">
        <f>SUM(H21:H23)</f>
        <v>5746.1</v>
      </c>
      <c r="I20" s="92">
        <f>SUM(I21:I23)</f>
        <v>5746.1</v>
      </c>
      <c r="J20" s="92">
        <v>6046.72</v>
      </c>
      <c r="K20" s="62"/>
      <c r="L20" s="62"/>
      <c r="M20" s="62"/>
      <c r="N20" s="61">
        <f t="shared" ref="N20:N27" si="0">(L20+M20)/2</f>
        <v>0</v>
      </c>
      <c r="O20" s="62"/>
      <c r="P20" s="62"/>
      <c r="Q20" s="62"/>
      <c r="R20" s="62"/>
      <c r="S20" s="357">
        <f>S21+S22+S23</f>
        <v>0</v>
      </c>
    </row>
    <row r="21" spans="1:19" ht="15.75">
      <c r="A21" s="354"/>
      <c r="B21" s="11" t="s">
        <v>8</v>
      </c>
      <c r="C21" s="11"/>
      <c r="D21" s="11"/>
      <c r="E21" s="12"/>
      <c r="F21" s="95" t="s">
        <v>6</v>
      </c>
      <c r="G21" s="64">
        <v>350.7</v>
      </c>
      <c r="H21" s="64">
        <v>350.7</v>
      </c>
      <c r="I21" s="64">
        <v>350.7</v>
      </c>
      <c r="J21" s="64">
        <v>409.93</v>
      </c>
      <c r="K21" s="59"/>
      <c r="L21" s="59"/>
      <c r="M21" s="59"/>
      <c r="N21" s="57">
        <f t="shared" si="0"/>
        <v>0</v>
      </c>
      <c r="O21" s="57"/>
      <c r="P21" s="57"/>
      <c r="Q21" s="59"/>
      <c r="R21" s="59"/>
      <c r="S21" s="358">
        <f t="shared" ref="S21:S24" si="1">R21</f>
        <v>0</v>
      </c>
    </row>
    <row r="22" spans="1:19" ht="15.75">
      <c r="A22" s="354"/>
      <c r="B22" s="11" t="s">
        <v>9</v>
      </c>
      <c r="C22" s="11"/>
      <c r="D22" s="11"/>
      <c r="E22" s="12"/>
      <c r="F22" s="95" t="s">
        <v>6</v>
      </c>
      <c r="G22" s="64">
        <v>5162.6000000000004</v>
      </c>
      <c r="H22" s="64">
        <v>5162.6000000000004</v>
      </c>
      <c r="I22" s="64">
        <v>5162.6000000000004</v>
      </c>
      <c r="J22" s="64">
        <v>5408.87</v>
      </c>
      <c r="K22" s="59"/>
      <c r="L22" s="59"/>
      <c r="M22" s="59"/>
      <c r="N22" s="57">
        <f t="shared" si="0"/>
        <v>0</v>
      </c>
      <c r="O22" s="57"/>
      <c r="P22" s="57"/>
      <c r="Q22" s="59"/>
      <c r="R22" s="59"/>
      <c r="S22" s="358">
        <f t="shared" si="1"/>
        <v>0</v>
      </c>
    </row>
    <row r="23" spans="1:19" ht="15.75">
      <c r="A23" s="354"/>
      <c r="B23" s="11" t="s">
        <v>10</v>
      </c>
      <c r="C23" s="11"/>
      <c r="D23" s="11"/>
      <c r="E23" s="12"/>
      <c r="F23" s="95" t="s">
        <v>6</v>
      </c>
      <c r="G23" s="64">
        <v>232.8</v>
      </c>
      <c r="H23" s="64">
        <v>232.8</v>
      </c>
      <c r="I23" s="64">
        <v>232.8</v>
      </c>
      <c r="J23" s="64">
        <v>227.92</v>
      </c>
      <c r="K23" s="59"/>
      <c r="L23" s="59"/>
      <c r="M23" s="59"/>
      <c r="N23" s="57">
        <f t="shared" si="0"/>
        <v>0</v>
      </c>
      <c r="O23" s="57"/>
      <c r="P23" s="57"/>
      <c r="Q23" s="59"/>
      <c r="R23" s="59"/>
      <c r="S23" s="358">
        <f t="shared" si="1"/>
        <v>0</v>
      </c>
    </row>
    <row r="24" spans="1:19" ht="15.75">
      <c r="A24" s="354"/>
      <c r="B24" s="11" t="s">
        <v>11</v>
      </c>
      <c r="C24" s="11"/>
      <c r="D24" s="11"/>
      <c r="E24" s="12"/>
      <c r="F24" s="95" t="s">
        <v>6</v>
      </c>
      <c r="G24" s="64"/>
      <c r="H24" s="64"/>
      <c r="I24" s="64"/>
      <c r="J24" s="64"/>
      <c r="K24" s="59"/>
      <c r="L24" s="59"/>
      <c r="M24" s="59"/>
      <c r="N24" s="57">
        <f t="shared" si="0"/>
        <v>0</v>
      </c>
      <c r="O24" s="57"/>
      <c r="P24" s="57"/>
      <c r="Q24" s="59"/>
      <c r="R24" s="59"/>
      <c r="S24" s="358">
        <f t="shared" si="1"/>
        <v>0</v>
      </c>
    </row>
    <row r="25" spans="1:19" ht="15.75">
      <c r="A25" s="354"/>
      <c r="B25" s="14" t="s">
        <v>12</v>
      </c>
      <c r="C25" s="11"/>
      <c r="D25" s="11"/>
      <c r="E25" s="12"/>
      <c r="F25" s="95" t="s">
        <v>6</v>
      </c>
      <c r="G25" s="92">
        <f>SUM(G26:G27)</f>
        <v>1869.7</v>
      </c>
      <c r="H25" s="92">
        <f t="shared" ref="H25:J25" si="2">SUM(H26:H27)</f>
        <v>1869.7</v>
      </c>
      <c r="I25" s="92">
        <f t="shared" si="2"/>
        <v>1869.7</v>
      </c>
      <c r="J25" s="92">
        <f t="shared" si="2"/>
        <v>1966.77</v>
      </c>
      <c r="K25" s="58"/>
      <c r="L25" s="58"/>
      <c r="M25" s="58"/>
      <c r="N25" s="61">
        <f t="shared" si="0"/>
        <v>0</v>
      </c>
      <c r="O25" s="62"/>
      <c r="P25" s="62"/>
      <c r="Q25" s="58"/>
      <c r="R25" s="58"/>
      <c r="S25" s="359">
        <f t="shared" ref="S25" si="3">S26+S27</f>
        <v>0</v>
      </c>
    </row>
    <row r="26" spans="1:19" ht="15.75">
      <c r="A26" s="354"/>
      <c r="B26" s="6" t="s">
        <v>13</v>
      </c>
      <c r="C26" s="11"/>
      <c r="D26" s="11"/>
      <c r="E26" s="11"/>
      <c r="F26" s="95" t="s">
        <v>6</v>
      </c>
      <c r="G26" s="64">
        <v>230.5</v>
      </c>
      <c r="H26" s="64">
        <v>230.5</v>
      </c>
      <c r="I26" s="64">
        <v>230.5</v>
      </c>
      <c r="J26" s="64">
        <v>230.5</v>
      </c>
      <c r="K26" s="60"/>
      <c r="L26" s="60"/>
      <c r="M26" s="60"/>
      <c r="N26" s="57">
        <f t="shared" si="0"/>
        <v>0</v>
      </c>
      <c r="O26" s="57"/>
      <c r="P26" s="57"/>
      <c r="Q26" s="60"/>
      <c r="R26" s="60"/>
      <c r="S26" s="360">
        <f>R26</f>
        <v>0</v>
      </c>
    </row>
    <row r="27" spans="1:19" ht="15.75">
      <c r="A27" s="354"/>
      <c r="B27" s="15" t="s">
        <v>14</v>
      </c>
      <c r="C27" s="11"/>
      <c r="D27" s="11"/>
      <c r="E27" s="11"/>
      <c r="F27" s="95" t="s">
        <v>6</v>
      </c>
      <c r="G27" s="64">
        <v>1639.2</v>
      </c>
      <c r="H27" s="64">
        <v>1639.2</v>
      </c>
      <c r="I27" s="64">
        <v>1639.2</v>
      </c>
      <c r="J27" s="64">
        <v>1736.27</v>
      </c>
      <c r="K27" s="60"/>
      <c r="L27" s="60"/>
      <c r="M27" s="60"/>
      <c r="N27" s="57">
        <f t="shared" si="0"/>
        <v>0</v>
      </c>
      <c r="O27" s="57"/>
      <c r="P27" s="57"/>
      <c r="Q27" s="60"/>
      <c r="R27" s="60"/>
      <c r="S27" s="360">
        <f>R27</f>
        <v>0</v>
      </c>
    </row>
    <row r="28" spans="1:19">
      <c r="A28" s="708" t="s">
        <v>15</v>
      </c>
      <c r="B28" s="709"/>
      <c r="C28" s="709"/>
      <c r="D28" s="709"/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10"/>
    </row>
    <row r="29" spans="1:19" ht="2.25" customHeight="1">
      <c r="A29" s="711"/>
      <c r="B29" s="712"/>
      <c r="C29" s="712"/>
      <c r="D29" s="712"/>
      <c r="E29" s="712"/>
      <c r="F29" s="712"/>
      <c r="G29" s="712"/>
      <c r="H29" s="712"/>
      <c r="I29" s="712"/>
      <c r="J29" s="712"/>
      <c r="K29" s="712"/>
      <c r="L29" s="712"/>
      <c r="M29" s="712"/>
      <c r="N29" s="712"/>
      <c r="O29" s="712"/>
      <c r="P29" s="712"/>
      <c r="Q29" s="712"/>
      <c r="R29" s="712"/>
      <c r="S29" s="713"/>
    </row>
    <row r="30" spans="1:19" ht="15.75">
      <c r="A30" s="361" t="s">
        <v>16</v>
      </c>
      <c r="B30" s="14" t="s">
        <v>17</v>
      </c>
      <c r="C30" s="16"/>
      <c r="D30" s="14"/>
      <c r="E30" s="17"/>
      <c r="F30" s="55" t="s">
        <v>18</v>
      </c>
      <c r="G30" s="92">
        <v>5374.7698519417163</v>
      </c>
      <c r="H30" s="92">
        <v>5594.84</v>
      </c>
      <c r="I30" s="92">
        <f>(G30+H30)/2</f>
        <v>5484.8049259708587</v>
      </c>
      <c r="J30" s="62">
        <v>5823.14</v>
      </c>
      <c r="K30" s="63"/>
      <c r="L30" s="63"/>
      <c r="M30" s="63"/>
      <c r="N30" s="63" t="e">
        <f>N31+#REF!</f>
        <v>#REF!</v>
      </c>
      <c r="O30" s="63">
        <f t="shared" ref="O30:O41" si="4">L30*0.55+M30*0.45</f>
        <v>0</v>
      </c>
      <c r="P30" s="63"/>
      <c r="Q30" s="63"/>
      <c r="R30" s="63"/>
      <c r="S30" s="362" t="e">
        <f>S31+#REF!</f>
        <v>#REF!</v>
      </c>
    </row>
    <row r="31" spans="1:19" ht="15.75">
      <c r="A31" s="361"/>
      <c r="B31" s="11" t="s">
        <v>245</v>
      </c>
      <c r="C31" s="16"/>
      <c r="D31" s="14"/>
      <c r="E31" s="17"/>
      <c r="F31" s="95" t="s">
        <v>6</v>
      </c>
      <c r="G31" s="64"/>
      <c r="H31" s="64"/>
      <c r="I31" s="64"/>
      <c r="J31" s="57"/>
      <c r="K31" s="64"/>
      <c r="L31" s="64"/>
      <c r="M31" s="64"/>
      <c r="N31" s="64" t="e">
        <f>N33+N36</f>
        <v>#REF!</v>
      </c>
      <c r="O31" s="64">
        <f t="shared" si="4"/>
        <v>0</v>
      </c>
      <c r="P31" s="64"/>
      <c r="Q31" s="64"/>
      <c r="R31" s="64"/>
      <c r="S31" s="363" t="e">
        <f>S33+S36</f>
        <v>#REF!</v>
      </c>
    </row>
    <row r="32" spans="1:19" ht="15.75">
      <c r="A32" s="364"/>
      <c r="B32" s="11" t="s">
        <v>21</v>
      </c>
      <c r="C32" s="12"/>
      <c r="D32" s="12"/>
      <c r="E32" s="20" t="s">
        <v>339</v>
      </c>
      <c r="F32" s="95" t="s">
        <v>6</v>
      </c>
      <c r="G32" s="63">
        <v>2479.0724302698791</v>
      </c>
      <c r="H32" s="63">
        <v>2479.0700000000002</v>
      </c>
      <c r="I32" s="63">
        <f>(G32+H32)/2</f>
        <v>2479.0712151349398</v>
      </c>
      <c r="J32" s="61">
        <v>2729.37</v>
      </c>
      <c r="K32" s="63"/>
      <c r="L32" s="63"/>
      <c r="M32" s="63"/>
      <c r="N32" s="63" t="e">
        <f>N33+N34</f>
        <v>#REF!</v>
      </c>
      <c r="O32" s="63">
        <f t="shared" si="4"/>
        <v>0</v>
      </c>
      <c r="P32" s="63"/>
      <c r="Q32" s="63"/>
      <c r="R32" s="63"/>
      <c r="S32" s="362" t="e">
        <f>S33+S34</f>
        <v>#REF!</v>
      </c>
    </row>
    <row r="33" spans="1:19" ht="15.75">
      <c r="A33" s="354"/>
      <c r="B33" s="11" t="s">
        <v>246</v>
      </c>
      <c r="C33" s="16"/>
      <c r="D33" s="11"/>
      <c r="E33" s="21"/>
      <c r="F33" s="95" t="s">
        <v>6</v>
      </c>
      <c r="G33" s="64"/>
      <c r="H33" s="64"/>
      <c r="I33" s="64"/>
      <c r="J33" s="57"/>
      <c r="K33" s="64"/>
      <c r="L33" s="64"/>
      <c r="M33" s="64"/>
      <c r="N33" s="64" t="e">
        <f>#REF!*1.074</f>
        <v>#REF!</v>
      </c>
      <c r="O33" s="64">
        <f t="shared" si="4"/>
        <v>0</v>
      </c>
      <c r="P33" s="64"/>
      <c r="Q33" s="64"/>
      <c r="R33" s="64"/>
      <c r="S33" s="363" t="e">
        <f>N33*1.068</f>
        <v>#REF!</v>
      </c>
    </row>
    <row r="34" spans="1:19" ht="15.75">
      <c r="A34" s="354"/>
      <c r="B34" s="11" t="s">
        <v>20</v>
      </c>
      <c r="C34" s="16"/>
      <c r="D34" s="11"/>
      <c r="E34" s="21"/>
      <c r="F34" s="95" t="s">
        <v>6</v>
      </c>
      <c r="G34" s="64"/>
      <c r="H34" s="64"/>
      <c r="I34" s="64"/>
      <c r="J34" s="64"/>
      <c r="K34" s="63"/>
      <c r="L34" s="64"/>
      <c r="M34" s="64"/>
      <c r="N34" s="64"/>
      <c r="O34" s="64">
        <f t="shared" si="4"/>
        <v>0</v>
      </c>
      <c r="P34" s="64"/>
      <c r="Q34" s="64"/>
      <c r="R34" s="64"/>
      <c r="S34" s="363">
        <f>R34*1.064</f>
        <v>0</v>
      </c>
    </row>
    <row r="35" spans="1:19" ht="15.75">
      <c r="A35" s="361"/>
      <c r="B35" s="11" t="s">
        <v>23</v>
      </c>
      <c r="C35" s="16"/>
      <c r="D35" s="14"/>
      <c r="E35" s="21"/>
      <c r="F35" s="95" t="s">
        <v>6</v>
      </c>
      <c r="G35" s="63">
        <v>2895.6974216718372</v>
      </c>
      <c r="H35" s="63">
        <v>3115.77</v>
      </c>
      <c r="I35" s="63">
        <f>(G35+H35)/2</f>
        <v>3005.7337108359188</v>
      </c>
      <c r="J35" s="61">
        <v>3093.77</v>
      </c>
      <c r="K35" s="63"/>
      <c r="L35" s="63"/>
      <c r="M35" s="63"/>
      <c r="N35" s="63" t="e">
        <f>N36+N37</f>
        <v>#REF!</v>
      </c>
      <c r="O35" s="63">
        <f t="shared" si="4"/>
        <v>0</v>
      </c>
      <c r="P35" s="63"/>
      <c r="Q35" s="63"/>
      <c r="R35" s="63"/>
      <c r="S35" s="362" t="e">
        <f>S36+S37</f>
        <v>#REF!</v>
      </c>
    </row>
    <row r="36" spans="1:19" ht="15.75">
      <c r="A36" s="354"/>
      <c r="B36" s="11" t="s">
        <v>247</v>
      </c>
      <c r="C36" s="16"/>
      <c r="D36" s="11"/>
      <c r="E36" s="21"/>
      <c r="F36" s="95" t="s">
        <v>6</v>
      </c>
      <c r="G36" s="64"/>
      <c r="H36" s="64"/>
      <c r="I36" s="64"/>
      <c r="J36" s="57"/>
      <c r="K36" s="64"/>
      <c r="L36" s="64"/>
      <c r="M36" s="64"/>
      <c r="N36" s="64" t="e">
        <f>#REF!*1.072</f>
        <v>#REF!</v>
      </c>
      <c r="O36" s="64">
        <f t="shared" si="4"/>
        <v>0</v>
      </c>
      <c r="P36" s="64"/>
      <c r="Q36" s="64"/>
      <c r="R36" s="64"/>
      <c r="S36" s="363" t="e">
        <f>N36*1.062</f>
        <v>#REF!</v>
      </c>
    </row>
    <row r="37" spans="1:19" ht="15.75">
      <c r="A37" s="365"/>
      <c r="B37" s="11" t="s">
        <v>20</v>
      </c>
      <c r="C37" s="16"/>
      <c r="D37" s="11"/>
      <c r="E37" s="21"/>
      <c r="F37" s="96" t="s">
        <v>6</v>
      </c>
      <c r="G37" s="64"/>
      <c r="H37" s="64"/>
      <c r="I37" s="64"/>
      <c r="J37" s="64"/>
      <c r="K37" s="63"/>
      <c r="L37" s="57"/>
      <c r="M37" s="57"/>
      <c r="N37" s="57"/>
      <c r="O37" s="57">
        <f t="shared" si="4"/>
        <v>0</v>
      </c>
      <c r="P37" s="57"/>
      <c r="Q37" s="57"/>
      <c r="R37" s="57"/>
      <c r="S37" s="355">
        <v>0</v>
      </c>
    </row>
    <row r="38" spans="1:19" ht="15.75">
      <c r="A38" s="350" t="s">
        <v>24</v>
      </c>
      <c r="B38" s="22" t="s">
        <v>25</v>
      </c>
      <c r="C38" s="23"/>
      <c r="D38" s="23"/>
      <c r="E38" s="24"/>
      <c r="F38" s="8" t="s">
        <v>18</v>
      </c>
      <c r="G38" s="315">
        <v>2651.2434312</v>
      </c>
      <c r="H38" s="315">
        <v>2836.83</v>
      </c>
      <c r="I38" s="315">
        <f>(G38+H38)/2</f>
        <v>2744.0367156000002</v>
      </c>
      <c r="J38" s="315">
        <v>2866.79</v>
      </c>
      <c r="K38" s="90"/>
      <c r="L38" s="90"/>
      <c r="M38" s="90"/>
      <c r="N38" s="90">
        <f>L38*1.084</f>
        <v>0</v>
      </c>
      <c r="O38" s="90">
        <f t="shared" si="4"/>
        <v>0</v>
      </c>
      <c r="P38" s="90"/>
      <c r="Q38" s="90"/>
      <c r="R38" s="90"/>
      <c r="S38" s="366">
        <f>N38*1.079</f>
        <v>0</v>
      </c>
    </row>
    <row r="39" spans="1:19" ht="15.75">
      <c r="A39" s="367" t="s">
        <v>26</v>
      </c>
      <c r="B39" s="10" t="s">
        <v>221</v>
      </c>
      <c r="C39" s="11"/>
      <c r="D39" s="11"/>
      <c r="E39" s="21"/>
      <c r="F39" s="95" t="s">
        <v>18</v>
      </c>
      <c r="G39" s="57"/>
      <c r="H39" s="57"/>
      <c r="I39" s="57"/>
      <c r="J39" s="57"/>
      <c r="K39" s="63"/>
      <c r="L39" s="64"/>
      <c r="M39" s="64"/>
      <c r="N39" s="64" t="e">
        <f>N40*N41/1000</f>
        <v>#REF!</v>
      </c>
      <c r="O39" s="64">
        <f t="shared" si="4"/>
        <v>0</v>
      </c>
      <c r="P39" s="64"/>
      <c r="Q39" s="64"/>
      <c r="R39" s="63"/>
      <c r="S39" s="362" t="e">
        <f>S40*S41/1000</f>
        <v>#REF!</v>
      </c>
    </row>
    <row r="40" spans="1:19" ht="15.75">
      <c r="A40" s="368"/>
      <c r="B40" s="15" t="s">
        <v>217</v>
      </c>
      <c r="C40" s="11"/>
      <c r="D40" s="11"/>
      <c r="E40" s="21"/>
      <c r="F40" s="95" t="s">
        <v>27</v>
      </c>
      <c r="G40" s="57"/>
      <c r="H40" s="57"/>
      <c r="I40" s="57"/>
      <c r="J40" s="57">
        <v>6</v>
      </c>
      <c r="K40" s="64"/>
      <c r="L40" s="57"/>
      <c r="M40" s="57"/>
      <c r="N40" s="57">
        <f>M40</f>
        <v>0</v>
      </c>
      <c r="O40" s="57">
        <f t="shared" si="4"/>
        <v>0</v>
      </c>
      <c r="P40" s="57"/>
      <c r="Q40" s="57"/>
      <c r="R40" s="57"/>
      <c r="S40" s="355">
        <f>R40</f>
        <v>0</v>
      </c>
    </row>
    <row r="41" spans="1:19" ht="15.75">
      <c r="A41" s="435"/>
      <c r="B41" s="26" t="s">
        <v>218</v>
      </c>
      <c r="C41" s="27"/>
      <c r="D41" s="27"/>
      <c r="E41" s="28"/>
      <c r="F41" s="96" t="s">
        <v>183</v>
      </c>
      <c r="G41" s="79"/>
      <c r="H41" s="79"/>
      <c r="I41" s="79"/>
      <c r="J41" s="79">
        <v>20</v>
      </c>
      <c r="K41" s="66"/>
      <c r="L41" s="66"/>
      <c r="M41" s="39"/>
      <c r="N41" s="66" t="e">
        <f>#REF!*1.128</f>
        <v>#REF!</v>
      </c>
      <c r="O41" s="66">
        <f t="shared" si="4"/>
        <v>0</v>
      </c>
      <c r="P41" s="66"/>
      <c r="Q41" s="66"/>
      <c r="R41" s="66"/>
      <c r="S41" s="436" t="e">
        <f>N41*1.128</f>
        <v>#REF!</v>
      </c>
    </row>
    <row r="42" spans="1:19" ht="26.25" customHeight="1">
      <c r="A42" s="691" t="s">
        <v>28</v>
      </c>
      <c r="B42" s="692"/>
      <c r="C42" s="692"/>
      <c r="D42" s="692"/>
      <c r="E42" s="692"/>
      <c r="F42" s="692"/>
      <c r="G42" s="692"/>
      <c r="H42" s="692"/>
      <c r="I42" s="692"/>
      <c r="J42" s="692"/>
      <c r="K42" s="692"/>
      <c r="L42" s="692"/>
      <c r="M42" s="692"/>
      <c r="N42" s="692"/>
      <c r="O42" s="692"/>
      <c r="P42" s="692"/>
      <c r="Q42" s="692"/>
      <c r="R42" s="692"/>
      <c r="S42" s="693"/>
    </row>
    <row r="43" spans="1:19" ht="18.75" customHeight="1">
      <c r="A43" s="350">
        <v>1</v>
      </c>
      <c r="B43" s="22" t="s">
        <v>29</v>
      </c>
      <c r="C43" s="23"/>
      <c r="D43" s="29"/>
      <c r="E43" s="24"/>
      <c r="F43" s="8" t="s">
        <v>18</v>
      </c>
      <c r="G43" s="67">
        <v>26.84</v>
      </c>
      <c r="H43" s="67">
        <v>28.88</v>
      </c>
      <c r="I43" s="67">
        <f>(G43+H43)/2</f>
        <v>27.86</v>
      </c>
      <c r="J43" s="67">
        <v>212.35</v>
      </c>
      <c r="K43" s="69"/>
      <c r="L43" s="69"/>
      <c r="M43" s="69"/>
      <c r="N43" s="69"/>
      <c r="O43" s="69">
        <f t="shared" ref="O43:O73" si="5">L43*0.55+M43*0.45</f>
        <v>0</v>
      </c>
      <c r="P43" s="69"/>
      <c r="Q43" s="69"/>
      <c r="R43" s="69"/>
      <c r="S43" s="437"/>
    </row>
    <row r="44" spans="1:19" ht="18.75" customHeight="1">
      <c r="A44" s="350">
        <v>2</v>
      </c>
      <c r="B44" s="22" t="s">
        <v>30</v>
      </c>
      <c r="C44" s="23"/>
      <c r="D44" s="29"/>
      <c r="E44" s="23"/>
      <c r="F44" s="8" t="s">
        <v>18</v>
      </c>
      <c r="G44" s="68"/>
      <c r="H44" s="68"/>
      <c r="I44" s="69"/>
      <c r="J44" s="68"/>
      <c r="K44" s="69"/>
      <c r="L44" s="69"/>
      <c r="M44" s="69"/>
      <c r="N44" s="69"/>
      <c r="O44" s="69">
        <f t="shared" si="5"/>
        <v>0</v>
      </c>
      <c r="P44" s="69"/>
      <c r="Q44" s="69"/>
      <c r="R44" s="69"/>
      <c r="S44" s="437"/>
    </row>
    <row r="45" spans="1:19" ht="18" customHeight="1">
      <c r="A45" s="370">
        <v>3</v>
      </c>
      <c r="B45" s="22" t="s">
        <v>31</v>
      </c>
      <c r="C45" s="23"/>
      <c r="D45" s="31"/>
      <c r="E45" s="29"/>
      <c r="F45" s="8" t="s">
        <v>18</v>
      </c>
      <c r="G45" s="69">
        <f>222.73+3881.178-6.02</f>
        <v>4097.887999999999</v>
      </c>
      <c r="H45" s="69">
        <v>4371.42</v>
      </c>
      <c r="I45" s="69">
        <f t="shared" ref="I45:I51" si="6">(G45+H45)/2</f>
        <v>4234.6539999999995</v>
      </c>
      <c r="J45" s="68">
        <v>4478.22</v>
      </c>
      <c r="K45" s="73"/>
      <c r="L45" s="73"/>
      <c r="M45" s="73"/>
      <c r="N45" s="73"/>
      <c r="O45" s="73">
        <f t="shared" si="5"/>
        <v>0</v>
      </c>
      <c r="P45" s="73"/>
      <c r="Q45" s="73"/>
      <c r="R45" s="73"/>
      <c r="S45" s="439"/>
    </row>
    <row r="46" spans="1:19" ht="15.75">
      <c r="A46" s="372"/>
      <c r="B46" s="15" t="s">
        <v>184</v>
      </c>
      <c r="C46" s="14"/>
      <c r="D46" s="12"/>
      <c r="E46" s="11"/>
      <c r="F46" s="94" t="s">
        <v>18</v>
      </c>
      <c r="G46" s="72">
        <v>3881.18</v>
      </c>
      <c r="H46" s="72">
        <v>4141.22</v>
      </c>
      <c r="I46" s="72">
        <f t="shared" si="6"/>
        <v>4011.2</v>
      </c>
      <c r="J46" s="71">
        <v>4254.22</v>
      </c>
      <c r="K46" s="70"/>
      <c r="L46" s="70"/>
      <c r="M46" s="70"/>
      <c r="N46" s="70"/>
      <c r="O46" s="70">
        <f t="shared" si="5"/>
        <v>0</v>
      </c>
      <c r="P46" s="70"/>
      <c r="Q46" s="70"/>
      <c r="R46" s="70"/>
      <c r="S46" s="440"/>
    </row>
    <row r="47" spans="1:19" ht="15.75">
      <c r="A47" s="372"/>
      <c r="B47" s="15" t="s">
        <v>185</v>
      </c>
      <c r="C47" s="14"/>
      <c r="D47" s="12"/>
      <c r="E47" s="11"/>
      <c r="F47" s="95" t="s">
        <v>32</v>
      </c>
      <c r="G47" s="71">
        <v>36.5</v>
      </c>
      <c r="H47" s="71">
        <v>36.5</v>
      </c>
      <c r="I47" s="460">
        <f t="shared" si="6"/>
        <v>36.5</v>
      </c>
      <c r="J47" s="71">
        <v>36.5</v>
      </c>
      <c r="K47" s="72"/>
      <c r="L47" s="72"/>
      <c r="M47" s="72"/>
      <c r="N47" s="72"/>
      <c r="O47" s="72">
        <f t="shared" si="5"/>
        <v>0</v>
      </c>
      <c r="P47" s="72"/>
      <c r="Q47" s="72"/>
      <c r="R47" s="72"/>
      <c r="S47" s="441"/>
    </row>
    <row r="48" spans="1:19" ht="15.75">
      <c r="A48" s="375"/>
      <c r="B48" s="15" t="s">
        <v>186</v>
      </c>
      <c r="C48" s="11"/>
      <c r="D48" s="12"/>
      <c r="E48" s="21"/>
      <c r="F48" s="95" t="s">
        <v>32</v>
      </c>
      <c r="G48" s="71">
        <v>35</v>
      </c>
      <c r="H48" s="71">
        <v>35</v>
      </c>
      <c r="I48" s="460">
        <f t="shared" si="6"/>
        <v>35</v>
      </c>
      <c r="J48" s="71">
        <v>35</v>
      </c>
      <c r="K48" s="70"/>
      <c r="L48" s="72"/>
      <c r="M48" s="72"/>
      <c r="N48" s="72"/>
      <c r="O48" s="72">
        <f t="shared" si="5"/>
        <v>0</v>
      </c>
      <c r="P48" s="72"/>
      <c r="Q48" s="72"/>
      <c r="R48" s="72"/>
      <c r="S48" s="441"/>
    </row>
    <row r="49" spans="1:19" ht="15.75">
      <c r="A49" s="375"/>
      <c r="B49" s="15" t="s">
        <v>34</v>
      </c>
      <c r="C49" s="11"/>
      <c r="D49" s="12" t="s">
        <v>187</v>
      </c>
      <c r="E49" s="11"/>
      <c r="F49" s="95" t="s">
        <v>33</v>
      </c>
      <c r="G49" s="72">
        <f>G45/12/G47*1000</f>
        <v>9355.9086757990844</v>
      </c>
      <c r="H49" s="72">
        <f>H45/12/H47*1000</f>
        <v>9980.4109589041109</v>
      </c>
      <c r="I49" s="72">
        <f t="shared" si="6"/>
        <v>9668.1598173515977</v>
      </c>
      <c r="J49" s="72">
        <f>J45/12/J47*1000</f>
        <v>10224.246575342466</v>
      </c>
      <c r="K49" s="72"/>
      <c r="L49" s="72"/>
      <c r="M49" s="72"/>
      <c r="N49" s="72"/>
      <c r="O49" s="72">
        <f t="shared" si="5"/>
        <v>0</v>
      </c>
      <c r="P49" s="72"/>
      <c r="Q49" s="72"/>
      <c r="R49" s="72"/>
      <c r="S49" s="441"/>
    </row>
    <row r="50" spans="1:19" ht="15.75">
      <c r="A50" s="375"/>
      <c r="B50" s="15" t="s">
        <v>184</v>
      </c>
      <c r="C50" s="11"/>
      <c r="D50" s="12"/>
      <c r="E50" s="11"/>
      <c r="F50" s="95" t="s">
        <v>33</v>
      </c>
      <c r="G50" s="72">
        <f>G46/12/G48*1000</f>
        <v>9240.9047619047615</v>
      </c>
      <c r="H50" s="72">
        <f>H46/12/H48*1000</f>
        <v>9860.0476190476202</v>
      </c>
      <c r="I50" s="72">
        <f t="shared" si="6"/>
        <v>9550.4761904761908</v>
      </c>
      <c r="J50" s="72">
        <f>J46/12/J48*1000</f>
        <v>10129.095238095239</v>
      </c>
      <c r="K50" s="70"/>
      <c r="L50" s="72"/>
      <c r="M50" s="72"/>
      <c r="N50" s="72"/>
      <c r="O50" s="72">
        <f t="shared" si="5"/>
        <v>0</v>
      </c>
      <c r="P50" s="72"/>
      <c r="Q50" s="72"/>
      <c r="R50" s="72"/>
      <c r="S50" s="441"/>
    </row>
    <row r="51" spans="1:19" ht="15.75">
      <c r="A51" s="376">
        <v>4</v>
      </c>
      <c r="B51" s="35" t="s">
        <v>35</v>
      </c>
      <c r="C51" s="35"/>
      <c r="D51" s="4"/>
      <c r="E51" s="35"/>
      <c r="F51" s="94" t="s">
        <v>18</v>
      </c>
      <c r="G51" s="56">
        <v>325.27</v>
      </c>
      <c r="H51" s="56">
        <v>341.21</v>
      </c>
      <c r="I51" s="56">
        <f t="shared" si="6"/>
        <v>333.24</v>
      </c>
      <c r="J51" s="56">
        <v>310.33</v>
      </c>
      <c r="K51" s="82"/>
      <c r="L51" s="82"/>
      <c r="M51" s="82"/>
      <c r="N51" s="82"/>
      <c r="O51" s="82">
        <f t="shared" si="5"/>
        <v>0</v>
      </c>
      <c r="P51" s="82"/>
      <c r="Q51" s="82"/>
      <c r="R51" s="82"/>
      <c r="S51" s="442"/>
    </row>
    <row r="52" spans="1:19" ht="15.75">
      <c r="A52" s="378"/>
      <c r="B52" s="14" t="s">
        <v>36</v>
      </c>
      <c r="C52" s="14"/>
      <c r="D52" s="14"/>
      <c r="E52" s="14"/>
      <c r="F52" s="95"/>
      <c r="G52" s="57"/>
      <c r="H52" s="57"/>
      <c r="I52" s="57"/>
      <c r="J52" s="57"/>
      <c r="K52" s="72"/>
      <c r="L52" s="72"/>
      <c r="M52" s="72"/>
      <c r="N52" s="72"/>
      <c r="O52" s="72">
        <f t="shared" si="5"/>
        <v>0</v>
      </c>
      <c r="P52" s="72"/>
      <c r="Q52" s="72"/>
      <c r="R52" s="72"/>
      <c r="S52" s="441"/>
    </row>
    <row r="53" spans="1:19" ht="15.75">
      <c r="A53" s="379"/>
      <c r="B53" s="38" t="s">
        <v>37</v>
      </c>
      <c r="C53" s="38"/>
      <c r="D53" s="38"/>
      <c r="E53" s="38"/>
      <c r="F53" s="96"/>
      <c r="G53" s="79"/>
      <c r="H53" s="79"/>
      <c r="I53" s="79"/>
      <c r="J53" s="79"/>
      <c r="K53" s="83"/>
      <c r="L53" s="83"/>
      <c r="M53" s="83"/>
      <c r="N53" s="83"/>
      <c r="O53" s="83">
        <f t="shared" si="5"/>
        <v>0</v>
      </c>
      <c r="P53" s="83"/>
      <c r="Q53" s="83"/>
      <c r="R53" s="83"/>
      <c r="S53" s="415"/>
    </row>
    <row r="54" spans="1:19" ht="15.75">
      <c r="A54" s="376">
        <v>5</v>
      </c>
      <c r="B54" s="41" t="s">
        <v>38</v>
      </c>
      <c r="C54" s="42"/>
      <c r="D54" s="42"/>
      <c r="E54" s="43"/>
      <c r="F54" s="94" t="s">
        <v>18</v>
      </c>
      <c r="G54" s="56">
        <f>SUM(G56:G60)</f>
        <v>285.14999999999998</v>
      </c>
      <c r="H54" s="56">
        <f>SUM(H56:H60)</f>
        <v>302.87</v>
      </c>
      <c r="I54" s="74">
        <f>(G54+H54)/2</f>
        <v>294.01</v>
      </c>
      <c r="J54" s="74">
        <f>SUM(J56:J60)</f>
        <v>348.93</v>
      </c>
      <c r="K54" s="82"/>
      <c r="L54" s="82"/>
      <c r="M54" s="82"/>
      <c r="N54" s="82"/>
      <c r="O54" s="82">
        <f t="shared" si="5"/>
        <v>0</v>
      </c>
      <c r="P54" s="82"/>
      <c r="Q54" s="82"/>
      <c r="R54" s="82"/>
      <c r="S54" s="442"/>
    </row>
    <row r="55" spans="1:19" ht="15.75">
      <c r="A55" s="381"/>
      <c r="B55" s="44" t="s">
        <v>39</v>
      </c>
      <c r="C55" s="45"/>
      <c r="D55" s="45"/>
      <c r="E55" s="46"/>
      <c r="F55" s="47"/>
      <c r="G55" s="297"/>
      <c r="H55" s="297"/>
      <c r="I55" s="328"/>
      <c r="J55" s="328"/>
      <c r="K55" s="335"/>
      <c r="L55" s="72"/>
      <c r="M55" s="72"/>
      <c r="N55" s="72"/>
      <c r="O55" s="72">
        <f t="shared" si="5"/>
        <v>0</v>
      </c>
      <c r="P55" s="72"/>
      <c r="Q55" s="72"/>
      <c r="R55" s="72"/>
      <c r="S55" s="441"/>
    </row>
    <row r="56" spans="1:19" ht="15.75">
      <c r="A56" s="382" t="s">
        <v>40</v>
      </c>
      <c r="B56" s="9" t="s">
        <v>41</v>
      </c>
      <c r="C56" s="48"/>
      <c r="D56" s="42"/>
      <c r="E56" s="43"/>
      <c r="F56" s="95" t="s">
        <v>6</v>
      </c>
      <c r="G56" s="75"/>
      <c r="H56" s="75"/>
      <c r="I56" s="76"/>
      <c r="J56" s="76"/>
      <c r="K56" s="74"/>
      <c r="L56" s="74"/>
      <c r="M56" s="74"/>
      <c r="N56" s="74"/>
      <c r="O56" s="74">
        <f t="shared" si="5"/>
        <v>0</v>
      </c>
      <c r="P56" s="74"/>
      <c r="Q56" s="74"/>
      <c r="R56" s="74"/>
      <c r="S56" s="443"/>
    </row>
    <row r="57" spans="1:19" ht="15.75">
      <c r="A57" s="382" t="s">
        <v>42</v>
      </c>
      <c r="B57" s="15" t="s">
        <v>43</v>
      </c>
      <c r="C57" s="11"/>
      <c r="D57" s="11"/>
      <c r="E57" s="21"/>
      <c r="F57" s="95" t="s">
        <v>6</v>
      </c>
      <c r="G57" s="75"/>
      <c r="H57" s="75"/>
      <c r="I57" s="76"/>
      <c r="J57" s="76"/>
      <c r="K57" s="64"/>
      <c r="L57" s="64"/>
      <c r="M57" s="64"/>
      <c r="N57" s="64"/>
      <c r="O57" s="64">
        <f t="shared" si="5"/>
        <v>0</v>
      </c>
      <c r="P57" s="64"/>
      <c r="Q57" s="64"/>
      <c r="R57" s="64"/>
      <c r="S57" s="363"/>
    </row>
    <row r="58" spans="1:19" ht="15.75">
      <c r="A58" s="382" t="s">
        <v>44</v>
      </c>
      <c r="B58" s="15" t="s">
        <v>45</v>
      </c>
      <c r="C58" s="11"/>
      <c r="D58" s="11"/>
      <c r="E58" s="21"/>
      <c r="F58" s="95" t="s">
        <v>6</v>
      </c>
      <c r="G58" s="75">
        <v>61.93</v>
      </c>
      <c r="H58" s="75">
        <v>64.97</v>
      </c>
      <c r="I58" s="76">
        <f>(G58+H58)/2</f>
        <v>63.45</v>
      </c>
      <c r="J58" s="76">
        <v>55.86</v>
      </c>
      <c r="K58" s="64"/>
      <c r="L58" s="64"/>
      <c r="M58" s="64"/>
      <c r="N58" s="64"/>
      <c r="O58" s="64">
        <f t="shared" si="5"/>
        <v>0</v>
      </c>
      <c r="P58" s="64"/>
      <c r="Q58" s="64"/>
      <c r="R58" s="64"/>
      <c r="S58" s="363"/>
    </row>
    <row r="59" spans="1:19" ht="15.75">
      <c r="A59" s="382" t="s">
        <v>46</v>
      </c>
      <c r="B59" s="15" t="s">
        <v>47</v>
      </c>
      <c r="C59" s="11"/>
      <c r="D59" s="11"/>
      <c r="E59" s="21"/>
      <c r="F59" s="95"/>
      <c r="G59" s="75">
        <v>193.22</v>
      </c>
      <c r="H59" s="75">
        <v>207.9</v>
      </c>
      <c r="I59" s="76">
        <f>(G59+H59)/2</f>
        <v>200.56</v>
      </c>
      <c r="J59" s="76">
        <v>200.7</v>
      </c>
      <c r="K59" s="64"/>
      <c r="L59" s="64"/>
      <c r="M59" s="64"/>
      <c r="N59" s="64"/>
      <c r="O59" s="64">
        <f t="shared" si="5"/>
        <v>0</v>
      </c>
      <c r="P59" s="64"/>
      <c r="Q59" s="64"/>
      <c r="R59" s="64"/>
      <c r="S59" s="363"/>
    </row>
    <row r="60" spans="1:19" ht="15.75">
      <c r="A60" s="382" t="s">
        <v>48</v>
      </c>
      <c r="B60" s="26" t="s">
        <v>49</v>
      </c>
      <c r="C60" s="27"/>
      <c r="D60" s="27"/>
      <c r="E60" s="28"/>
      <c r="F60" s="96" t="s">
        <v>6</v>
      </c>
      <c r="G60" s="75">
        <v>30</v>
      </c>
      <c r="H60" s="75">
        <v>30</v>
      </c>
      <c r="I60" s="76">
        <f>(G60+H60)/2</f>
        <v>30</v>
      </c>
      <c r="J60" s="76">
        <v>92.37</v>
      </c>
      <c r="K60" s="66"/>
      <c r="L60" s="66"/>
      <c r="M60" s="66"/>
      <c r="N60" s="66"/>
      <c r="O60" s="66">
        <f t="shared" si="5"/>
        <v>0</v>
      </c>
      <c r="P60" s="66"/>
      <c r="Q60" s="66"/>
      <c r="R60" s="66"/>
      <c r="S60" s="436"/>
    </row>
    <row r="61" spans="1:19" ht="15.75">
      <c r="A61" s="386" t="s">
        <v>50</v>
      </c>
      <c r="B61" s="23" t="s">
        <v>51</v>
      </c>
      <c r="C61" s="29"/>
      <c r="D61" s="29"/>
      <c r="E61" s="29"/>
      <c r="F61" s="8" t="s">
        <v>6</v>
      </c>
      <c r="G61" s="78"/>
      <c r="H61" s="78"/>
      <c r="I61" s="77"/>
      <c r="J61" s="77"/>
      <c r="K61" s="66"/>
      <c r="L61" s="66"/>
      <c r="M61" s="66"/>
      <c r="N61" s="66"/>
      <c r="O61" s="66">
        <f t="shared" si="5"/>
        <v>0</v>
      </c>
      <c r="P61" s="66"/>
      <c r="Q61" s="66"/>
      <c r="R61" s="66"/>
      <c r="S61" s="436"/>
    </row>
    <row r="62" spans="1:19" ht="15.75">
      <c r="A62" s="386" t="s">
        <v>52</v>
      </c>
      <c r="B62" s="22" t="s">
        <v>53</v>
      </c>
      <c r="C62" s="29"/>
      <c r="D62" s="29"/>
      <c r="E62" s="29"/>
      <c r="F62" s="8" t="s">
        <v>6</v>
      </c>
      <c r="G62" s="67"/>
      <c r="H62" s="67">
        <v>20</v>
      </c>
      <c r="I62" s="65">
        <f>(G62+H62)/2</f>
        <v>10</v>
      </c>
      <c r="J62" s="65">
        <v>11.52</v>
      </c>
      <c r="K62" s="66"/>
      <c r="L62" s="66"/>
      <c r="M62" s="66"/>
      <c r="N62" s="66"/>
      <c r="O62" s="66">
        <f t="shared" si="5"/>
        <v>0</v>
      </c>
      <c r="P62" s="66"/>
      <c r="Q62" s="66"/>
      <c r="R62" s="66"/>
      <c r="S62" s="436"/>
    </row>
    <row r="63" spans="1:19" ht="15.75">
      <c r="A63" s="386" t="s">
        <v>54</v>
      </c>
      <c r="B63" s="22" t="s">
        <v>55</v>
      </c>
      <c r="C63" s="29"/>
      <c r="D63" s="29"/>
      <c r="E63" s="29"/>
      <c r="F63" s="8" t="s">
        <v>6</v>
      </c>
      <c r="G63" s="87"/>
      <c r="H63" s="87"/>
      <c r="I63" s="89"/>
      <c r="J63" s="89"/>
      <c r="K63" s="68"/>
      <c r="L63" s="68"/>
      <c r="M63" s="68"/>
      <c r="N63" s="68"/>
      <c r="O63" s="68">
        <f t="shared" si="5"/>
        <v>0</v>
      </c>
      <c r="P63" s="68"/>
      <c r="Q63" s="68"/>
      <c r="R63" s="68"/>
      <c r="S63" s="444"/>
    </row>
    <row r="64" spans="1:19" ht="15.75">
      <c r="A64" s="386" t="s">
        <v>56</v>
      </c>
      <c r="B64" s="22" t="s">
        <v>57</v>
      </c>
      <c r="C64" s="29"/>
      <c r="D64" s="29"/>
      <c r="E64" s="29"/>
      <c r="F64" s="95" t="s">
        <v>6</v>
      </c>
      <c r="G64" s="87"/>
      <c r="H64" s="87"/>
      <c r="I64" s="89"/>
      <c r="J64" s="89"/>
      <c r="K64" s="69"/>
      <c r="L64" s="69"/>
      <c r="M64" s="69"/>
      <c r="N64" s="69"/>
      <c r="O64" s="69">
        <f t="shared" si="5"/>
        <v>0</v>
      </c>
      <c r="P64" s="69"/>
      <c r="Q64" s="69"/>
      <c r="R64" s="69"/>
      <c r="S64" s="437"/>
    </row>
    <row r="65" spans="1:19" ht="15.75">
      <c r="A65" s="388" t="s">
        <v>58</v>
      </c>
      <c r="B65" s="35" t="s">
        <v>59</v>
      </c>
      <c r="C65" s="4"/>
      <c r="D65" s="4"/>
      <c r="E65" s="4"/>
      <c r="F65" s="94" t="s">
        <v>18</v>
      </c>
      <c r="G65" s="298">
        <v>1.86</v>
      </c>
      <c r="H65" s="298">
        <v>3.71</v>
      </c>
      <c r="I65" s="329">
        <f>(G65+H65)/2</f>
        <v>2.7850000000000001</v>
      </c>
      <c r="J65" s="329"/>
      <c r="K65" s="74"/>
      <c r="L65" s="74"/>
      <c r="M65" s="74"/>
      <c r="N65" s="74"/>
      <c r="O65" s="74">
        <f t="shared" si="5"/>
        <v>0</v>
      </c>
      <c r="P65" s="74"/>
      <c r="Q65" s="74"/>
      <c r="R65" s="74"/>
      <c r="S65" s="443"/>
    </row>
    <row r="66" spans="1:19" ht="15.75" hidden="1">
      <c r="A66" s="378" t="s">
        <v>61</v>
      </c>
      <c r="B66" s="11"/>
      <c r="C66" s="11"/>
      <c r="D66" s="11"/>
      <c r="E66" s="11"/>
      <c r="F66" s="94" t="s">
        <v>18</v>
      </c>
      <c r="G66" s="57"/>
      <c r="H66" s="57"/>
      <c r="I66" s="64"/>
      <c r="J66" s="64"/>
      <c r="K66" s="64"/>
      <c r="L66" s="64"/>
      <c r="M66" s="64"/>
      <c r="N66" s="64"/>
      <c r="O66" s="64">
        <f t="shared" si="5"/>
        <v>0</v>
      </c>
      <c r="P66" s="64"/>
      <c r="Q66" s="64"/>
      <c r="R66" s="64"/>
      <c r="S66" s="363"/>
    </row>
    <row r="67" spans="1:19" ht="15.75" hidden="1">
      <c r="A67" s="354"/>
      <c r="B67" s="11"/>
      <c r="C67" s="11"/>
      <c r="D67" s="11"/>
      <c r="E67" s="11"/>
      <c r="F67" s="94" t="s">
        <v>18</v>
      </c>
      <c r="G67" s="57"/>
      <c r="H67" s="57"/>
      <c r="I67" s="64"/>
      <c r="J67" s="64"/>
      <c r="K67" s="59"/>
      <c r="L67" s="59"/>
      <c r="M67" s="59"/>
      <c r="N67" s="59"/>
      <c r="O67" s="59">
        <f t="shared" si="5"/>
        <v>0</v>
      </c>
      <c r="P67" s="59"/>
      <c r="Q67" s="59"/>
      <c r="R67" s="59"/>
      <c r="S67" s="358"/>
    </row>
    <row r="68" spans="1:19" ht="15.75" hidden="1">
      <c r="A68" s="378" t="s">
        <v>62</v>
      </c>
      <c r="B68" s="11"/>
      <c r="C68" s="11"/>
      <c r="D68" s="11"/>
      <c r="E68" s="11"/>
      <c r="F68" s="94" t="s">
        <v>18</v>
      </c>
      <c r="G68" s="57"/>
      <c r="H68" s="57"/>
      <c r="I68" s="64"/>
      <c r="J68" s="64"/>
      <c r="K68" s="59"/>
      <c r="L68" s="59"/>
      <c r="M68" s="59"/>
      <c r="N68" s="59"/>
      <c r="O68" s="59">
        <f t="shared" si="5"/>
        <v>0</v>
      </c>
      <c r="P68" s="59"/>
      <c r="Q68" s="59"/>
      <c r="R68" s="59"/>
      <c r="S68" s="358"/>
    </row>
    <row r="69" spans="1:19" ht="15.75" hidden="1">
      <c r="A69" s="378" t="s">
        <v>63</v>
      </c>
      <c r="B69" s="11"/>
      <c r="C69" s="11"/>
      <c r="D69" s="11"/>
      <c r="E69" s="11"/>
      <c r="F69" s="94" t="s">
        <v>18</v>
      </c>
      <c r="G69" s="57"/>
      <c r="H69" s="57"/>
      <c r="I69" s="64"/>
      <c r="J69" s="64"/>
      <c r="K69" s="57"/>
      <c r="L69" s="57"/>
      <c r="M69" s="57"/>
      <c r="N69" s="57"/>
      <c r="O69" s="57">
        <f t="shared" si="5"/>
        <v>0</v>
      </c>
      <c r="P69" s="57"/>
      <c r="Q69" s="57"/>
      <c r="R69" s="57"/>
      <c r="S69" s="355"/>
    </row>
    <row r="70" spans="1:19" ht="15.75" hidden="1">
      <c r="A70" s="378" t="s">
        <v>64</v>
      </c>
      <c r="B70" s="11"/>
      <c r="C70" s="11"/>
      <c r="D70" s="11"/>
      <c r="E70" s="11"/>
      <c r="F70" s="94" t="s">
        <v>18</v>
      </c>
      <c r="G70" s="57"/>
      <c r="H70" s="57"/>
      <c r="I70" s="64"/>
      <c r="J70" s="64"/>
      <c r="K70" s="57"/>
      <c r="L70" s="57"/>
      <c r="M70" s="57"/>
      <c r="N70" s="57"/>
      <c r="O70" s="57">
        <f t="shared" si="5"/>
        <v>0</v>
      </c>
      <c r="P70" s="57"/>
      <c r="Q70" s="57"/>
      <c r="R70" s="57"/>
      <c r="S70" s="355"/>
    </row>
    <row r="71" spans="1:19" ht="15.75" hidden="1">
      <c r="A71" s="378" t="s">
        <v>65</v>
      </c>
      <c r="B71" s="11"/>
      <c r="C71" s="11"/>
      <c r="D71" s="11"/>
      <c r="E71" s="11"/>
      <c r="F71" s="94" t="s">
        <v>18</v>
      </c>
      <c r="G71" s="57"/>
      <c r="H71" s="57"/>
      <c r="I71" s="64"/>
      <c r="J71" s="64"/>
      <c r="K71" s="57"/>
      <c r="L71" s="57"/>
      <c r="M71" s="57"/>
      <c r="N71" s="57"/>
      <c r="O71" s="57">
        <f t="shared" si="5"/>
        <v>0</v>
      </c>
      <c r="P71" s="57"/>
      <c r="Q71" s="57"/>
      <c r="R71" s="57"/>
      <c r="S71" s="355"/>
    </row>
    <row r="72" spans="1:19" ht="16.5" thickBot="1">
      <c r="A72" s="378" t="s">
        <v>60</v>
      </c>
      <c r="B72" s="688" t="s">
        <v>248</v>
      </c>
      <c r="C72" s="689"/>
      <c r="D72" s="689"/>
      <c r="E72" s="690"/>
      <c r="F72" s="95" t="s">
        <v>18</v>
      </c>
      <c r="G72" s="57"/>
      <c r="H72" s="57"/>
      <c r="I72" s="64"/>
      <c r="J72" s="64"/>
      <c r="K72" s="64"/>
      <c r="L72" s="64"/>
      <c r="M72" s="64"/>
      <c r="N72" s="64"/>
      <c r="O72" s="64">
        <f t="shared" si="5"/>
        <v>0</v>
      </c>
      <c r="P72" s="64"/>
      <c r="Q72" s="64"/>
      <c r="R72" s="64"/>
      <c r="S72" s="363"/>
    </row>
    <row r="73" spans="1:19" ht="16.5" thickBot="1">
      <c r="A73" s="438"/>
      <c r="B73" s="317" t="s">
        <v>66</v>
      </c>
      <c r="C73" s="318"/>
      <c r="D73" s="318"/>
      <c r="E73" s="323"/>
      <c r="F73" s="320" t="s">
        <v>18</v>
      </c>
      <c r="G73" s="324">
        <f>G43+G44+G45+G51+G54+G61+G62+G65</f>
        <v>4737.0079999999989</v>
      </c>
      <c r="H73" s="326">
        <f>H43+H44+H45+H51+H54+H61+H62+H65</f>
        <v>5068.09</v>
      </c>
      <c r="I73" s="326">
        <f>(G73+H73)/2</f>
        <v>4902.5489999999991</v>
      </c>
      <c r="J73" s="324">
        <f>J43+J44+J45+J51+J54+J61+J62+J65</f>
        <v>5361.3500000000013</v>
      </c>
      <c r="K73" s="326"/>
      <c r="L73" s="326"/>
      <c r="M73" s="326"/>
      <c r="N73" s="326"/>
      <c r="O73" s="326">
        <f t="shared" si="5"/>
        <v>0</v>
      </c>
      <c r="P73" s="326"/>
      <c r="Q73" s="326"/>
      <c r="R73" s="326"/>
      <c r="S73" s="445"/>
    </row>
    <row r="74" spans="1:19" ht="19.5" customHeight="1">
      <c r="A74" s="694" t="s">
        <v>67</v>
      </c>
      <c r="B74" s="695"/>
      <c r="C74" s="695"/>
      <c r="D74" s="695"/>
      <c r="E74" s="695"/>
      <c r="F74" s="695"/>
      <c r="G74" s="695"/>
      <c r="H74" s="695"/>
      <c r="I74" s="695"/>
      <c r="J74" s="695"/>
      <c r="K74" s="695"/>
      <c r="L74" s="695"/>
      <c r="M74" s="695"/>
      <c r="N74" s="695"/>
      <c r="O74" s="695"/>
      <c r="P74" s="695"/>
      <c r="Q74" s="695"/>
      <c r="R74" s="695"/>
      <c r="S74" s="696"/>
    </row>
    <row r="75" spans="1:19" ht="15.75">
      <c r="A75" s="350">
        <v>11</v>
      </c>
      <c r="B75" s="38" t="s">
        <v>68</v>
      </c>
      <c r="C75" s="27"/>
      <c r="D75" s="27"/>
      <c r="E75" s="27"/>
      <c r="F75" s="8" t="s">
        <v>18</v>
      </c>
      <c r="G75" s="300"/>
      <c r="H75" s="300"/>
      <c r="I75" s="300"/>
      <c r="J75" s="300"/>
      <c r="K75" s="66"/>
      <c r="L75" s="65"/>
      <c r="M75" s="65"/>
      <c r="N75" s="461"/>
      <c r="O75" s="461">
        <f t="shared" ref="O75:O97" si="7">L75*0.55+M75*0.45</f>
        <v>0</v>
      </c>
      <c r="P75" s="65"/>
      <c r="Q75" s="65"/>
      <c r="R75" s="65"/>
      <c r="S75" s="464"/>
    </row>
    <row r="76" spans="1:19" ht="15.75">
      <c r="A76" s="378">
        <v>12</v>
      </c>
      <c r="B76" s="22" t="s">
        <v>69</v>
      </c>
      <c r="C76" s="29"/>
      <c r="D76" s="23"/>
      <c r="E76" s="51"/>
      <c r="F76" s="8" t="s">
        <v>18</v>
      </c>
      <c r="G76" s="299">
        <f>SUM(G77:G79)</f>
        <v>158.55000000000001</v>
      </c>
      <c r="H76" s="299">
        <f>SUM(H77:H79)</f>
        <v>158.55000000000001</v>
      </c>
      <c r="I76" s="299">
        <f>(G76+H76)/2</f>
        <v>158.55000000000001</v>
      </c>
      <c r="J76" s="299"/>
      <c r="K76" s="69"/>
      <c r="L76" s="69"/>
      <c r="M76" s="69"/>
      <c r="N76" s="69">
        <f>N77+N78+N79</f>
        <v>0</v>
      </c>
      <c r="O76" s="69">
        <f t="shared" si="7"/>
        <v>0</v>
      </c>
      <c r="P76" s="69"/>
      <c r="Q76" s="69"/>
      <c r="R76" s="69"/>
      <c r="S76" s="437">
        <f>S77+S78+S79</f>
        <v>0</v>
      </c>
    </row>
    <row r="77" spans="1:19" ht="15.75">
      <c r="A77" s="376" t="s">
        <v>70</v>
      </c>
      <c r="B77" s="11" t="s">
        <v>71</v>
      </c>
      <c r="C77" s="11"/>
      <c r="D77" s="11"/>
      <c r="E77" s="21"/>
      <c r="F77" s="95" t="s">
        <v>18</v>
      </c>
      <c r="G77" s="57">
        <v>158.55000000000001</v>
      </c>
      <c r="H77" s="57">
        <v>158.55000000000001</v>
      </c>
      <c r="I77" s="57">
        <f>(G77+H77)/2</f>
        <v>158.55000000000001</v>
      </c>
      <c r="J77" s="57"/>
      <c r="K77" s="57"/>
      <c r="L77" s="57"/>
      <c r="M77" s="64"/>
      <c r="N77" s="64"/>
      <c r="O77" s="64">
        <f t="shared" si="7"/>
        <v>0</v>
      </c>
      <c r="P77" s="64"/>
      <c r="Q77" s="57"/>
      <c r="R77" s="57"/>
      <c r="S77" s="355"/>
    </row>
    <row r="78" spans="1:19" ht="15.75">
      <c r="A78" s="378" t="s">
        <v>72</v>
      </c>
      <c r="B78" s="11" t="s">
        <v>73</v>
      </c>
      <c r="C78" s="11"/>
      <c r="D78" s="11"/>
      <c r="E78" s="21"/>
      <c r="F78" s="95" t="s">
        <v>18</v>
      </c>
      <c r="G78" s="57"/>
      <c r="H78" s="57"/>
      <c r="I78" s="57"/>
      <c r="J78" s="57"/>
      <c r="K78" s="64"/>
      <c r="L78" s="64"/>
      <c r="M78" s="64"/>
      <c r="N78" s="64"/>
      <c r="O78" s="64">
        <f t="shared" si="7"/>
        <v>0</v>
      </c>
      <c r="P78" s="64"/>
      <c r="Q78" s="64"/>
      <c r="R78" s="64"/>
      <c r="S78" s="363"/>
    </row>
    <row r="79" spans="1:19" ht="15.75">
      <c r="A79" s="379" t="s">
        <v>74</v>
      </c>
      <c r="B79" s="27" t="s">
        <v>75</v>
      </c>
      <c r="C79" s="27"/>
      <c r="D79" s="27"/>
      <c r="E79" s="28"/>
      <c r="F79" s="96" t="s">
        <v>18</v>
      </c>
      <c r="G79" s="79"/>
      <c r="H79" s="79"/>
      <c r="I79" s="79"/>
      <c r="J79" s="79"/>
      <c r="K79" s="66"/>
      <c r="L79" s="66"/>
      <c r="M79" s="64"/>
      <c r="N79" s="64"/>
      <c r="O79" s="64">
        <f t="shared" si="7"/>
        <v>0</v>
      </c>
      <c r="P79" s="64"/>
      <c r="Q79" s="64"/>
      <c r="R79" s="64"/>
      <c r="S79" s="363"/>
    </row>
    <row r="80" spans="1:19" ht="15.75">
      <c r="A80" s="379">
        <v>13</v>
      </c>
      <c r="B80" s="50" t="s">
        <v>76</v>
      </c>
      <c r="C80" s="29"/>
      <c r="D80" s="29"/>
      <c r="E80" s="51"/>
      <c r="F80" s="8" t="s">
        <v>18</v>
      </c>
      <c r="G80" s="67"/>
      <c r="H80" s="67"/>
      <c r="I80" s="67"/>
      <c r="J80" s="67"/>
      <c r="K80" s="57"/>
      <c r="L80" s="67"/>
      <c r="M80" s="67"/>
      <c r="N80" s="67"/>
      <c r="O80" s="67">
        <f t="shared" si="7"/>
        <v>0</v>
      </c>
      <c r="P80" s="67"/>
      <c r="Q80" s="67"/>
      <c r="R80" s="67"/>
      <c r="S80" s="447"/>
    </row>
    <row r="81" spans="1:19" ht="15.75">
      <c r="A81" s="379">
        <v>14</v>
      </c>
      <c r="B81" s="10" t="s">
        <v>77</v>
      </c>
      <c r="C81" s="11"/>
      <c r="D81" s="11"/>
      <c r="E81" s="21"/>
      <c r="F81" s="96" t="s">
        <v>18</v>
      </c>
      <c r="G81" s="66">
        <f>SUM(G82:G88)</f>
        <v>86</v>
      </c>
      <c r="H81" s="66">
        <f>SUM(H82:H88)</f>
        <v>86</v>
      </c>
      <c r="I81" s="66">
        <f>(G81+H81)/2</f>
        <v>86</v>
      </c>
      <c r="J81" s="79">
        <f>SUM(J82:J88)</f>
        <v>16.399999999999999</v>
      </c>
      <c r="K81" s="65"/>
      <c r="L81" s="65"/>
      <c r="M81" s="65"/>
      <c r="N81" s="65"/>
      <c r="O81" s="65">
        <f t="shared" si="7"/>
        <v>0</v>
      </c>
      <c r="P81" s="65"/>
      <c r="Q81" s="65"/>
      <c r="R81" s="65"/>
      <c r="S81" s="446"/>
    </row>
    <row r="82" spans="1:19" ht="15.75">
      <c r="A82" s="372" t="s">
        <v>78</v>
      </c>
      <c r="B82" s="9" t="s">
        <v>79</v>
      </c>
      <c r="C82" s="4"/>
      <c r="D82" s="4"/>
      <c r="E82" s="4"/>
      <c r="F82" s="94" t="s">
        <v>18</v>
      </c>
      <c r="G82" s="301">
        <v>80</v>
      </c>
      <c r="H82" s="301">
        <v>80</v>
      </c>
      <c r="I82" s="332">
        <f>(G82+H82)/2</f>
        <v>80</v>
      </c>
      <c r="J82" s="301">
        <v>9.4</v>
      </c>
      <c r="K82" s="74"/>
      <c r="L82" s="74"/>
      <c r="M82" s="74"/>
      <c r="N82" s="74"/>
      <c r="O82" s="74">
        <f t="shared" si="7"/>
        <v>0</v>
      </c>
      <c r="P82" s="74"/>
      <c r="Q82" s="74"/>
      <c r="R82" s="74"/>
      <c r="S82" s="443"/>
    </row>
    <row r="83" spans="1:19" ht="15.75">
      <c r="A83" s="354"/>
      <c r="B83" s="15" t="s">
        <v>80</v>
      </c>
      <c r="C83" s="11"/>
      <c r="D83" s="11"/>
      <c r="E83" s="11"/>
      <c r="F83" s="95" t="s">
        <v>18</v>
      </c>
      <c r="G83" s="75"/>
      <c r="H83" s="75"/>
      <c r="I83" s="76"/>
      <c r="J83" s="75"/>
      <c r="K83" s="57"/>
      <c r="L83" s="57"/>
      <c r="M83" s="57"/>
      <c r="N83" s="57"/>
      <c r="O83" s="57">
        <f t="shared" si="7"/>
        <v>0</v>
      </c>
      <c r="P83" s="57"/>
      <c r="Q83" s="57"/>
      <c r="R83" s="57"/>
      <c r="S83" s="355"/>
    </row>
    <row r="84" spans="1:19" ht="15.75">
      <c r="A84" s="372" t="s">
        <v>81</v>
      </c>
      <c r="B84" s="15" t="s">
        <v>82</v>
      </c>
      <c r="C84" s="14"/>
      <c r="D84" s="11"/>
      <c r="E84" s="11"/>
      <c r="F84" s="95" t="s">
        <v>18</v>
      </c>
      <c r="G84" s="75"/>
      <c r="H84" s="75"/>
      <c r="I84" s="76"/>
      <c r="J84" s="75"/>
      <c r="K84" s="64"/>
      <c r="L84" s="64"/>
      <c r="M84" s="64"/>
      <c r="N84" s="64"/>
      <c r="O84" s="64">
        <f t="shared" si="7"/>
        <v>0</v>
      </c>
      <c r="P84" s="64"/>
      <c r="Q84" s="64"/>
      <c r="R84" s="64"/>
      <c r="S84" s="363"/>
    </row>
    <row r="85" spans="1:19" ht="15.75">
      <c r="A85" s="372" t="s">
        <v>83</v>
      </c>
      <c r="B85" s="15" t="s">
        <v>84</v>
      </c>
      <c r="C85" s="11"/>
      <c r="D85" s="14"/>
      <c r="E85" s="12"/>
      <c r="F85" s="95" t="s">
        <v>18</v>
      </c>
      <c r="G85" s="76"/>
      <c r="H85" s="76"/>
      <c r="I85" s="76"/>
      <c r="J85" s="75"/>
      <c r="K85" s="84"/>
      <c r="L85" s="340"/>
      <c r="M85" s="84"/>
      <c r="N85" s="84"/>
      <c r="O85" s="84">
        <f t="shared" si="7"/>
        <v>0</v>
      </c>
      <c r="P85" s="84"/>
      <c r="Q85" s="84"/>
      <c r="R85" s="84"/>
      <c r="S85" s="448"/>
    </row>
    <row r="86" spans="1:19" ht="15.75">
      <c r="A86" s="372" t="s">
        <v>85</v>
      </c>
      <c r="B86" s="15" t="s">
        <v>86</v>
      </c>
      <c r="C86" s="11"/>
      <c r="D86" s="14"/>
      <c r="E86" s="12"/>
      <c r="F86" s="95" t="s">
        <v>18</v>
      </c>
      <c r="G86" s="75"/>
      <c r="H86" s="75"/>
      <c r="I86" s="76"/>
      <c r="J86" s="75"/>
      <c r="K86" s="64"/>
      <c r="L86" s="64"/>
      <c r="M86" s="64"/>
      <c r="N86" s="64"/>
      <c r="O86" s="64">
        <f t="shared" si="7"/>
        <v>0</v>
      </c>
      <c r="P86" s="64"/>
      <c r="Q86" s="64"/>
      <c r="R86" s="64"/>
      <c r="S86" s="363"/>
    </row>
    <row r="87" spans="1:19" ht="15.75">
      <c r="A87" s="372" t="s">
        <v>87</v>
      </c>
      <c r="B87" s="15" t="s">
        <v>88</v>
      </c>
      <c r="C87" s="14"/>
      <c r="D87" s="11"/>
      <c r="E87" s="14"/>
      <c r="F87" s="95" t="s">
        <v>18</v>
      </c>
      <c r="G87" s="75"/>
      <c r="H87" s="75"/>
      <c r="I87" s="76"/>
      <c r="J87" s="75"/>
      <c r="K87" s="86"/>
      <c r="L87" s="57"/>
      <c r="M87" s="86"/>
      <c r="N87" s="86"/>
      <c r="O87" s="86">
        <f t="shared" si="7"/>
        <v>0</v>
      </c>
      <c r="P87" s="86"/>
      <c r="Q87" s="86"/>
      <c r="R87" s="86"/>
      <c r="S87" s="449"/>
    </row>
    <row r="88" spans="1:19" ht="15.75">
      <c r="A88" s="372" t="s">
        <v>89</v>
      </c>
      <c r="B88" s="15" t="s">
        <v>90</v>
      </c>
      <c r="C88" s="11"/>
      <c r="D88" s="14"/>
      <c r="E88" s="11"/>
      <c r="F88" s="95" t="s">
        <v>18</v>
      </c>
      <c r="G88" s="75">
        <v>6</v>
      </c>
      <c r="H88" s="75">
        <v>6</v>
      </c>
      <c r="I88" s="76">
        <f>(G88+H88)/2</f>
        <v>6</v>
      </c>
      <c r="J88" s="75">
        <v>7</v>
      </c>
      <c r="K88" s="80"/>
      <c r="L88" s="79"/>
      <c r="M88" s="80"/>
      <c r="N88" s="80"/>
      <c r="O88" s="80">
        <f t="shared" si="7"/>
        <v>0</v>
      </c>
      <c r="P88" s="80"/>
      <c r="Q88" s="80"/>
      <c r="R88" s="80"/>
      <c r="S88" s="450"/>
    </row>
    <row r="89" spans="1:19" ht="15.75">
      <c r="A89" s="350">
        <v>15</v>
      </c>
      <c r="B89" s="22" t="s">
        <v>91</v>
      </c>
      <c r="C89" s="29"/>
      <c r="D89" s="29"/>
      <c r="E89" s="29"/>
      <c r="F89" s="8" t="s">
        <v>18</v>
      </c>
      <c r="G89" s="65">
        <f>H89/H45*G45</f>
        <v>1237.3289066161565</v>
      </c>
      <c r="H89" s="65">
        <v>1319.92</v>
      </c>
      <c r="I89" s="65">
        <f>(G89+H89)/2</f>
        <v>1278.6244533080783</v>
      </c>
      <c r="J89" s="65">
        <v>1352.42</v>
      </c>
      <c r="K89" s="65"/>
      <c r="L89" s="65"/>
      <c r="M89" s="65"/>
      <c r="N89" s="65">
        <f>0.302*N45</f>
        <v>0</v>
      </c>
      <c r="O89" s="65">
        <f t="shared" si="7"/>
        <v>0</v>
      </c>
      <c r="P89" s="65"/>
      <c r="Q89" s="65"/>
      <c r="R89" s="65"/>
      <c r="S89" s="446">
        <f t="shared" ref="S89:S90" si="8">0.302*S45</f>
        <v>0</v>
      </c>
    </row>
    <row r="90" spans="1:19" ht="15.75">
      <c r="A90" s="376" t="s">
        <v>92</v>
      </c>
      <c r="B90" s="50" t="s">
        <v>93</v>
      </c>
      <c r="C90" s="29"/>
      <c r="D90" s="29"/>
      <c r="E90" s="29"/>
      <c r="F90" s="8" t="s">
        <v>6</v>
      </c>
      <c r="G90" s="77">
        <f>H90/H46*G46</f>
        <v>1171.8835203152694</v>
      </c>
      <c r="H90" s="77">
        <v>1250.4000000000001</v>
      </c>
      <c r="I90" s="77">
        <f>(G90+H90)/2</f>
        <v>1211.1417601576347</v>
      </c>
      <c r="J90" s="77">
        <v>1284.77</v>
      </c>
      <c r="K90" s="77"/>
      <c r="L90" s="65"/>
      <c r="M90" s="65"/>
      <c r="N90" s="65">
        <f>0.302*N46</f>
        <v>0</v>
      </c>
      <c r="O90" s="65">
        <f t="shared" si="7"/>
        <v>0</v>
      </c>
      <c r="P90" s="65"/>
      <c r="Q90" s="65"/>
      <c r="R90" s="65"/>
      <c r="S90" s="446">
        <f t="shared" si="8"/>
        <v>0</v>
      </c>
    </row>
    <row r="91" spans="1:19" ht="15.75">
      <c r="A91" s="350">
        <v>17</v>
      </c>
      <c r="B91" s="22" t="s">
        <v>95</v>
      </c>
      <c r="C91" s="29"/>
      <c r="D91" s="29"/>
      <c r="E91" s="51"/>
      <c r="F91" s="96" t="s">
        <v>18</v>
      </c>
      <c r="G91" s="66"/>
      <c r="H91" s="66"/>
      <c r="I91" s="66"/>
      <c r="J91" s="66"/>
      <c r="K91" s="67"/>
      <c r="L91" s="67"/>
      <c r="M91" s="67"/>
      <c r="N91" s="67">
        <f>L91*0.55+M91*0.45</f>
        <v>0</v>
      </c>
      <c r="O91" s="67">
        <f t="shared" si="7"/>
        <v>0</v>
      </c>
      <c r="P91" s="87"/>
      <c r="Q91" s="67"/>
      <c r="R91" s="67"/>
      <c r="S91" s="447"/>
    </row>
    <row r="92" spans="1:19" ht="15.75">
      <c r="A92" s="350">
        <v>18</v>
      </c>
      <c r="B92" s="10" t="s">
        <v>96</v>
      </c>
      <c r="C92" s="11"/>
      <c r="D92" s="11"/>
      <c r="E92" s="21"/>
      <c r="F92" s="96" t="s">
        <v>18</v>
      </c>
      <c r="G92" s="79"/>
      <c r="H92" s="79"/>
      <c r="I92" s="79"/>
      <c r="J92" s="79"/>
      <c r="K92" s="79"/>
      <c r="L92" s="79"/>
      <c r="M92" s="80"/>
      <c r="N92" s="80"/>
      <c r="O92" s="80">
        <f t="shared" si="7"/>
        <v>0</v>
      </c>
      <c r="P92" s="80"/>
      <c r="Q92" s="80"/>
      <c r="R92" s="80"/>
      <c r="S92" s="450"/>
    </row>
    <row r="93" spans="1:19" ht="15.75">
      <c r="A93" s="350">
        <v>20</v>
      </c>
      <c r="B93" s="23" t="s">
        <v>98</v>
      </c>
      <c r="C93" s="29"/>
      <c r="D93" s="29"/>
      <c r="E93" s="29"/>
      <c r="F93" s="96" t="s">
        <v>18</v>
      </c>
      <c r="G93" s="79"/>
      <c r="H93" s="79"/>
      <c r="I93" s="79"/>
      <c r="J93" s="79"/>
      <c r="K93" s="67"/>
      <c r="L93" s="67"/>
      <c r="M93" s="87"/>
      <c r="N93" s="87"/>
      <c r="O93" s="87">
        <f t="shared" si="7"/>
        <v>0</v>
      </c>
      <c r="P93" s="87"/>
      <c r="Q93" s="87"/>
      <c r="R93" s="87"/>
      <c r="S93" s="451"/>
    </row>
    <row r="94" spans="1:19" ht="15.75">
      <c r="A94" s="350">
        <v>22</v>
      </c>
      <c r="B94" s="22" t="s">
        <v>100</v>
      </c>
      <c r="C94" s="23"/>
      <c r="D94" s="29"/>
      <c r="E94" s="24"/>
      <c r="F94" s="96" t="s">
        <v>18</v>
      </c>
      <c r="G94" s="79"/>
      <c r="H94" s="79"/>
      <c r="I94" s="79"/>
      <c r="J94" s="79"/>
      <c r="K94" s="66"/>
      <c r="L94" s="66"/>
      <c r="M94" s="66"/>
      <c r="N94" s="66" t="e">
        <f>#REF!*1.05</f>
        <v>#REF!</v>
      </c>
      <c r="O94" s="66">
        <f t="shared" si="7"/>
        <v>0</v>
      </c>
      <c r="P94" s="66"/>
      <c r="Q94" s="66"/>
      <c r="R94" s="66"/>
      <c r="S94" s="436" t="e">
        <f>N94*1.05</f>
        <v>#REF!</v>
      </c>
    </row>
    <row r="95" spans="1:19" ht="15.75">
      <c r="A95" s="379">
        <v>24</v>
      </c>
      <c r="B95" s="44" t="s">
        <v>249</v>
      </c>
      <c r="C95" s="27"/>
      <c r="D95" s="27"/>
      <c r="E95" s="28"/>
      <c r="F95" s="96" t="s">
        <v>18</v>
      </c>
      <c r="G95" s="79">
        <v>423</v>
      </c>
      <c r="H95" s="79">
        <v>447.7</v>
      </c>
      <c r="I95" s="79">
        <f>(G95+H95)/2</f>
        <v>435.35</v>
      </c>
      <c r="J95" s="79">
        <v>377.08</v>
      </c>
      <c r="K95" s="65"/>
      <c r="L95" s="65"/>
      <c r="M95" s="65"/>
      <c r="N95" s="65">
        <f t="shared" ref="N95:S95" si="9">(N98-N100-N101)/0.8*0.2</f>
        <v>0</v>
      </c>
      <c r="O95" s="65">
        <f t="shared" si="7"/>
        <v>0</v>
      </c>
      <c r="P95" s="65"/>
      <c r="Q95" s="65"/>
      <c r="R95" s="65"/>
      <c r="S95" s="446">
        <f t="shared" si="9"/>
        <v>0</v>
      </c>
    </row>
    <row r="96" spans="1:19" ht="16.5" thickBot="1">
      <c r="A96" s="350">
        <v>25</v>
      </c>
      <c r="B96" s="41" t="s">
        <v>103</v>
      </c>
      <c r="C96" s="4"/>
      <c r="D96" s="4"/>
      <c r="E96" s="5"/>
      <c r="F96" s="95" t="s">
        <v>18</v>
      </c>
      <c r="G96" s="57">
        <v>-591.05899999999986</v>
      </c>
      <c r="H96" s="57">
        <v>-591.05999999999995</v>
      </c>
      <c r="I96" s="57">
        <f>(G96+H96)/2</f>
        <v>-591.05949999999984</v>
      </c>
      <c r="J96" s="57"/>
      <c r="K96" s="74"/>
      <c r="L96" s="316"/>
      <c r="M96" s="316"/>
      <c r="N96" s="316"/>
      <c r="O96" s="316">
        <f t="shared" si="7"/>
        <v>0</v>
      </c>
      <c r="P96" s="316"/>
      <c r="Q96" s="316"/>
      <c r="R96" s="316"/>
      <c r="S96" s="452"/>
    </row>
    <row r="97" spans="1:19" ht="16.5" thickBot="1">
      <c r="A97" s="370"/>
      <c r="B97" s="317" t="s">
        <v>104</v>
      </c>
      <c r="C97" s="318"/>
      <c r="D97" s="319"/>
      <c r="E97" s="318"/>
      <c r="F97" s="320" t="s">
        <v>18</v>
      </c>
      <c r="G97" s="321">
        <f>G75+G76+G80+G81+G89+G91+G92+G93+G94+G95+G96</f>
        <v>1313.8199066161565</v>
      </c>
      <c r="H97" s="321">
        <f>H75+H76+H80+H81+H89+H91+H92+H93+H94+H95+H96</f>
        <v>1421.1100000000001</v>
      </c>
      <c r="I97" s="321">
        <f>(G97+H97)/2</f>
        <v>1367.4649533080783</v>
      </c>
      <c r="J97" s="321">
        <f>SUM(J81+J89+J95+J96)</f>
        <v>1745.9</v>
      </c>
      <c r="K97" s="321"/>
      <c r="L97" s="321"/>
      <c r="M97" s="321"/>
      <c r="N97" s="321" t="e">
        <f t="shared" ref="N97:S97" si="10">N75+N76+N80+N81+N89+N91+N92+N93+N94+N95</f>
        <v>#REF!</v>
      </c>
      <c r="O97" s="321">
        <f t="shared" si="7"/>
        <v>0</v>
      </c>
      <c r="P97" s="321"/>
      <c r="Q97" s="321"/>
      <c r="R97" s="321"/>
      <c r="S97" s="431" t="e">
        <f t="shared" si="10"/>
        <v>#REF!</v>
      </c>
    </row>
    <row r="98" spans="1:19" ht="15.75">
      <c r="A98" s="350"/>
      <c r="B98" s="685" t="s">
        <v>188</v>
      </c>
      <c r="C98" s="686"/>
      <c r="D98" s="686"/>
      <c r="E98" s="687"/>
      <c r="F98" s="96" t="s">
        <v>18</v>
      </c>
      <c r="G98" s="85"/>
      <c r="H98" s="85"/>
      <c r="I98" s="85"/>
      <c r="J98" s="85">
        <v>-591.05999999999995</v>
      </c>
      <c r="K98" s="85"/>
      <c r="L98" s="85"/>
      <c r="M98" s="85"/>
      <c r="N98" s="85">
        <f>N99+N100+N101+N102+N103</f>
        <v>0</v>
      </c>
      <c r="O98" s="85"/>
      <c r="P98" s="85"/>
      <c r="Q98" s="85"/>
      <c r="R98" s="85"/>
      <c r="S98" s="453">
        <f>S99+S100+S101+S102+S103</f>
        <v>0</v>
      </c>
    </row>
    <row r="99" spans="1:19" ht="15.75">
      <c r="A99" s="350"/>
      <c r="B99" s="44" t="s">
        <v>189</v>
      </c>
      <c r="C99" s="38"/>
      <c r="D99" s="27"/>
      <c r="E99" s="38"/>
      <c r="F99" s="96" t="s">
        <v>18</v>
      </c>
      <c r="G99" s="302"/>
      <c r="H99" s="302"/>
      <c r="I99" s="302"/>
      <c r="J99" s="302"/>
      <c r="K99" s="69"/>
      <c r="L99" s="69"/>
      <c r="M99" s="69"/>
      <c r="N99" s="69"/>
      <c r="O99" s="69"/>
      <c r="P99" s="69"/>
      <c r="Q99" s="69"/>
      <c r="R99" s="69"/>
      <c r="S99" s="437"/>
    </row>
    <row r="100" spans="1:19" ht="15.75">
      <c r="A100" s="350"/>
      <c r="B100" s="44" t="s">
        <v>97</v>
      </c>
      <c r="C100" s="38"/>
      <c r="D100" s="27"/>
      <c r="E100" s="38"/>
      <c r="F100" s="96" t="s">
        <v>18</v>
      </c>
      <c r="G100" s="302"/>
      <c r="H100" s="302"/>
      <c r="I100" s="302"/>
      <c r="J100" s="302"/>
      <c r="K100" s="69"/>
      <c r="L100" s="69"/>
      <c r="M100" s="69"/>
      <c r="N100" s="69"/>
      <c r="O100" s="69"/>
      <c r="P100" s="69"/>
      <c r="Q100" s="69"/>
      <c r="R100" s="69"/>
      <c r="S100" s="437"/>
    </row>
    <row r="101" spans="1:19" ht="15.75">
      <c r="A101" s="350"/>
      <c r="B101" s="44" t="s">
        <v>94</v>
      </c>
      <c r="C101" s="38"/>
      <c r="D101" s="27"/>
      <c r="E101" s="38"/>
      <c r="F101" s="96" t="s">
        <v>18</v>
      </c>
      <c r="G101" s="302"/>
      <c r="H101" s="302"/>
      <c r="I101" s="302"/>
      <c r="J101" s="302"/>
      <c r="K101" s="69"/>
      <c r="L101" s="69"/>
      <c r="M101" s="69"/>
      <c r="N101" s="69"/>
      <c r="O101" s="69"/>
      <c r="P101" s="69"/>
      <c r="Q101" s="69"/>
      <c r="R101" s="69"/>
      <c r="S101" s="437"/>
    </row>
    <row r="102" spans="1:19" ht="15.75">
      <c r="A102" s="350"/>
      <c r="B102" s="44" t="s">
        <v>101</v>
      </c>
      <c r="C102" s="38"/>
      <c r="D102" s="27"/>
      <c r="E102" s="38"/>
      <c r="F102" s="96" t="s">
        <v>18</v>
      </c>
      <c r="G102" s="302"/>
      <c r="H102" s="302"/>
      <c r="I102" s="302"/>
      <c r="J102" s="302"/>
      <c r="K102" s="69"/>
      <c r="L102" s="69"/>
      <c r="M102" s="69"/>
      <c r="N102" s="69"/>
      <c r="O102" s="69"/>
      <c r="P102" s="69"/>
      <c r="Q102" s="69"/>
      <c r="R102" s="69"/>
      <c r="S102" s="437"/>
    </row>
    <row r="103" spans="1:19" ht="15.75">
      <c r="A103" s="350"/>
      <c r="B103" s="44" t="s">
        <v>99</v>
      </c>
      <c r="C103" s="38"/>
      <c r="D103" s="27"/>
      <c r="E103" s="38"/>
      <c r="F103" s="96" t="s">
        <v>18</v>
      </c>
      <c r="G103" s="302"/>
      <c r="H103" s="302"/>
      <c r="I103" s="302"/>
      <c r="J103" s="302"/>
      <c r="K103" s="69"/>
      <c r="L103" s="69"/>
      <c r="M103" s="69"/>
      <c r="N103" s="69"/>
      <c r="O103" s="69"/>
      <c r="P103" s="69"/>
      <c r="Q103" s="69"/>
      <c r="R103" s="69"/>
      <c r="S103" s="437"/>
    </row>
    <row r="104" spans="1:19" ht="16.5">
      <c r="A104" s="350">
        <v>26</v>
      </c>
      <c r="B104" s="44" t="s">
        <v>105</v>
      </c>
      <c r="C104" s="38"/>
      <c r="D104" s="38"/>
      <c r="E104" s="52"/>
      <c r="F104" s="96" t="s">
        <v>18</v>
      </c>
      <c r="G104" s="336">
        <f>G30+G38+G39+G73+G97+G98</f>
        <v>14076.841189757872</v>
      </c>
      <c r="H104" s="336">
        <f>H30+H38+H39+H73+H97+H98</f>
        <v>14920.87</v>
      </c>
      <c r="I104" s="336">
        <f>I30+I38+I39+I73+I97+I98</f>
        <v>14498.855594878936</v>
      </c>
      <c r="J104" s="336">
        <f>J30+J38+J39+J73+J97+J98</f>
        <v>15206.120000000003</v>
      </c>
      <c r="K104" s="338"/>
      <c r="L104" s="81">
        <f>L30+L38+L39+L73+L97</f>
        <v>0</v>
      </c>
      <c r="M104" s="81">
        <f>M30+M38+M39+M73+M97</f>
        <v>0</v>
      </c>
      <c r="N104" s="81" t="e">
        <f>N30+N38+N39+N73+N97</f>
        <v>#REF!</v>
      </c>
      <c r="O104" s="81">
        <f>L104*0.55+M104*0.45</f>
        <v>0</v>
      </c>
      <c r="P104" s="338"/>
      <c r="Q104" s="344">
        <f>Q30+Q38+Q39+Q73+Q97</f>
        <v>0</v>
      </c>
      <c r="R104" s="344">
        <f>R30+R38+R39+R73+R97</f>
        <v>0</v>
      </c>
      <c r="S104" s="454" t="e">
        <f>S30+S38+S39+S73+S97</f>
        <v>#REF!</v>
      </c>
    </row>
    <row r="105" spans="1:19" ht="16.5">
      <c r="A105" s="350"/>
      <c r="B105" s="50" t="s">
        <v>106</v>
      </c>
      <c r="C105" s="29"/>
      <c r="D105" s="23"/>
      <c r="E105" s="51"/>
      <c r="F105" s="96" t="s">
        <v>18</v>
      </c>
      <c r="G105" s="337">
        <f>((G30+G38+G39+G73+G97-G95)*G20/G19+G95+G98)</f>
        <v>14076.841189757874</v>
      </c>
      <c r="H105" s="337">
        <f>((H30+H38+H39+H73+H97-H95)*H20/H19+H95+H98)</f>
        <v>14920.87</v>
      </c>
      <c r="I105" s="681">
        <f>((I30+I38+I39+I73+I97-I95)*I20/I19+I95+I98)</f>
        <v>14498.855594878936</v>
      </c>
      <c r="J105" s="337">
        <f>((J30+J38+J39+J73+J97-J95)*J20/J19+J95+J98)</f>
        <v>15206.120000000003</v>
      </c>
      <c r="K105" s="304"/>
      <c r="L105" s="304" t="e">
        <f>((L30+L38+L39+L73+L97-L95)*L20/L19+L95+L98)</f>
        <v>#DIV/0!</v>
      </c>
      <c r="M105" s="304" t="e">
        <f>((M30+M38+M39+M73+M97-M95)*M20/M19+M95+M98)</f>
        <v>#DIV/0!</v>
      </c>
      <c r="N105" s="304" t="e">
        <f>((N30+N38+N39+N73+N97-N95)*N20/N19+N95+N98)</f>
        <v>#REF!</v>
      </c>
      <c r="O105" s="304" t="e">
        <f>L105*0.55+M105*0.45</f>
        <v>#DIV/0!</v>
      </c>
      <c r="P105" s="304"/>
      <c r="Q105" s="304" t="e">
        <f>((Q30+Q38+Q39+Q73+Q97-Q95)*Q20/Q19+Q95+Q98)</f>
        <v>#DIV/0!</v>
      </c>
      <c r="R105" s="304" t="e">
        <f>((R30+R38+R39+R73+R97-R95)*R20/R19+R95+R98)</f>
        <v>#DIV/0!</v>
      </c>
      <c r="S105" s="455" t="e">
        <f>((S30+S38+S39+S73+S97-S95)*S20/S19+S95+S98)</f>
        <v>#REF!</v>
      </c>
    </row>
    <row r="106" spans="1:19" ht="15.75">
      <c r="A106" s="350"/>
      <c r="B106" s="23" t="s">
        <v>107</v>
      </c>
      <c r="C106" s="23"/>
      <c r="D106" s="29"/>
      <c r="E106" s="51"/>
      <c r="F106" s="8" t="s">
        <v>18</v>
      </c>
      <c r="G106" s="90">
        <f>G105/G20*1000</f>
        <v>2449.807902709294</v>
      </c>
      <c r="H106" s="90">
        <f>H105/H20*1000</f>
        <v>2596.6951497537457</v>
      </c>
      <c r="I106" s="339">
        <f>I105/I20*1000</f>
        <v>2523.2515262315196</v>
      </c>
      <c r="J106" s="90">
        <f>J105/J20*1000</f>
        <v>2514.7716447925491</v>
      </c>
      <c r="K106" s="90"/>
      <c r="L106" s="90" t="e">
        <f>L105/L20*1000</f>
        <v>#DIV/0!</v>
      </c>
      <c r="M106" s="90" t="e">
        <f>M105/M20*1000</f>
        <v>#DIV/0!</v>
      </c>
      <c r="N106" s="90" t="e">
        <f>N105/N20*1000</f>
        <v>#REF!</v>
      </c>
      <c r="O106" s="90" t="e">
        <f>L106*0.55+M106*0.45</f>
        <v>#DIV/0!</v>
      </c>
      <c r="P106" s="90"/>
      <c r="Q106" s="65" t="e">
        <f>Q105/Q20*1000</f>
        <v>#DIV/0!</v>
      </c>
      <c r="R106" s="65" t="e">
        <f>R105/R20*1000</f>
        <v>#DIV/0!</v>
      </c>
      <c r="S106" s="446" t="e">
        <f>S105/S20*1000</f>
        <v>#REF!</v>
      </c>
    </row>
    <row r="107" spans="1:19" ht="16.5" thickBot="1">
      <c r="A107" s="402"/>
      <c r="B107" s="403" t="s">
        <v>108</v>
      </c>
      <c r="C107" s="404"/>
      <c r="D107" s="405"/>
      <c r="E107" s="406"/>
      <c r="F107" s="407" t="s">
        <v>18</v>
      </c>
      <c r="G107" s="408"/>
      <c r="H107" s="408"/>
      <c r="I107" s="408"/>
      <c r="J107" s="462"/>
      <c r="K107" s="410"/>
      <c r="L107" s="410" t="e">
        <f>L106/#REF!*100-100</f>
        <v>#DIV/0!</v>
      </c>
      <c r="M107" s="410" t="e">
        <f>M106/L106*100-100</f>
        <v>#DIV/0!</v>
      </c>
      <c r="N107" s="410"/>
      <c r="O107" s="410"/>
      <c r="P107" s="410"/>
      <c r="Q107" s="411" t="e">
        <f>Q106/M106*100-100</f>
        <v>#DIV/0!</v>
      </c>
      <c r="R107" s="411" t="e">
        <f>R106/Q106*100-100</f>
        <v>#DIV/0!</v>
      </c>
      <c r="S107" s="456"/>
    </row>
    <row r="108" spans="1:19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9" ht="15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9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9" ht="15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9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</row>
    <row r="113" spans="1:19">
      <c r="A113" s="1"/>
      <c r="B113" s="1"/>
      <c r="C113" s="1"/>
      <c r="D113" s="53"/>
      <c r="E113" s="1"/>
      <c r="F113" s="1"/>
      <c r="G113" s="1"/>
      <c r="H113" s="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</row>
    <row r="114" spans="1:19">
      <c r="A114" s="1"/>
      <c r="B114" s="1"/>
      <c r="C114" s="1"/>
      <c r="D114" s="1"/>
      <c r="E114" s="1"/>
      <c r="F114" s="1"/>
      <c r="G114" s="1"/>
      <c r="H114" s="1"/>
      <c r="J114" s="341"/>
      <c r="K114" s="341"/>
      <c r="L114" s="342"/>
      <c r="M114" s="343"/>
      <c r="N114" s="343"/>
      <c r="O114" s="348"/>
      <c r="P114" s="341"/>
      <c r="Q114" s="342"/>
      <c r="R114" s="343"/>
      <c r="S114" s="343"/>
    </row>
    <row r="115" spans="1:19">
      <c r="J115" s="341"/>
      <c r="K115" s="341"/>
      <c r="L115" s="342"/>
      <c r="M115" s="342"/>
      <c r="N115" s="342"/>
      <c r="O115" s="349"/>
      <c r="P115" s="341"/>
      <c r="Q115" s="342"/>
      <c r="R115" s="342"/>
      <c r="S115" s="342"/>
    </row>
    <row r="116" spans="1:19"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</row>
  </sheetData>
  <mergeCells count="25">
    <mergeCell ref="B15:E15"/>
    <mergeCell ref="A28:S29"/>
    <mergeCell ref="I10:I14"/>
    <mergeCell ref="A10:A14"/>
    <mergeCell ref="B10:E14"/>
    <mergeCell ref="F10:F14"/>
    <mergeCell ref="J10:J14"/>
    <mergeCell ref="P10:P14"/>
    <mergeCell ref="R12:R14"/>
    <mergeCell ref="S12:S14"/>
    <mergeCell ref="Q12:Q14"/>
    <mergeCell ref="L10:N11"/>
    <mergeCell ref="L12:L14"/>
    <mergeCell ref="Q10:S11"/>
    <mergeCell ref="A6:S6"/>
    <mergeCell ref="M12:M14"/>
    <mergeCell ref="N12:N14"/>
    <mergeCell ref="K10:K14"/>
    <mergeCell ref="H10:H14"/>
    <mergeCell ref="G10:G14"/>
    <mergeCell ref="A112:S112"/>
    <mergeCell ref="B98:E98"/>
    <mergeCell ref="B72:E72"/>
    <mergeCell ref="A42:S42"/>
    <mergeCell ref="A74:S74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50"/>
  <sheetViews>
    <sheetView view="pageBreakPreview" zoomScale="80" zoomScaleNormal="100" zoomScaleSheetLayoutView="80" workbookViewId="0">
      <selection activeCell="M29" sqref="M29"/>
    </sheetView>
  </sheetViews>
  <sheetFormatPr defaultRowHeight="12.75"/>
  <cols>
    <col min="1" max="1" width="3.140625" style="97" customWidth="1"/>
    <col min="2" max="2" width="88.85546875" style="97" customWidth="1"/>
    <col min="3" max="3" width="11.42578125" style="97" customWidth="1"/>
    <col min="4" max="4" width="11.5703125" style="97" hidden="1" customWidth="1"/>
    <col min="5" max="5" width="1.5703125" style="97" hidden="1" customWidth="1"/>
    <col min="6" max="6" width="17.28515625" style="97" customWidth="1"/>
    <col min="7" max="7" width="14.28515625" style="97" hidden="1" customWidth="1"/>
    <col min="8" max="8" width="15.28515625" style="97" customWidth="1"/>
    <col min="9" max="9" width="15.7109375" style="97" customWidth="1"/>
    <col min="10" max="10" width="15.5703125" style="97" customWidth="1"/>
    <col min="11" max="11" width="9.140625" style="97"/>
    <col min="12" max="12" width="11.85546875" style="97" customWidth="1"/>
    <col min="13" max="13" width="14.85546875" style="97" customWidth="1"/>
    <col min="14" max="14" width="10.85546875" style="97" customWidth="1"/>
    <col min="15" max="256" width="9.140625" style="97"/>
    <col min="257" max="257" width="3.140625" style="97" customWidth="1"/>
    <col min="258" max="258" width="88.85546875" style="97" customWidth="1"/>
    <col min="259" max="259" width="11.42578125" style="97" customWidth="1"/>
    <col min="260" max="261" width="0" style="97" hidden="1" customWidth="1"/>
    <col min="262" max="262" width="17.28515625" style="97" customWidth="1"/>
    <col min="263" max="263" width="0" style="97" hidden="1" customWidth="1"/>
    <col min="264" max="264" width="15.28515625" style="97" customWidth="1"/>
    <col min="265" max="265" width="15.7109375" style="97" customWidth="1"/>
    <col min="266" max="266" width="15.5703125" style="97" customWidth="1"/>
    <col min="267" max="267" width="9.140625" style="97"/>
    <col min="268" max="268" width="11.85546875" style="97" customWidth="1"/>
    <col min="269" max="269" width="14.85546875" style="97" customWidth="1"/>
    <col min="270" max="270" width="10.85546875" style="97" customWidth="1"/>
    <col min="271" max="512" width="9.140625" style="97"/>
    <col min="513" max="513" width="3.140625" style="97" customWidth="1"/>
    <col min="514" max="514" width="88.85546875" style="97" customWidth="1"/>
    <col min="515" max="515" width="11.42578125" style="97" customWidth="1"/>
    <col min="516" max="517" width="0" style="97" hidden="1" customWidth="1"/>
    <col min="518" max="518" width="17.28515625" style="97" customWidth="1"/>
    <col min="519" max="519" width="0" style="97" hidden="1" customWidth="1"/>
    <col min="520" max="520" width="15.28515625" style="97" customWidth="1"/>
    <col min="521" max="521" width="15.7109375" style="97" customWidth="1"/>
    <col min="522" max="522" width="15.5703125" style="97" customWidth="1"/>
    <col min="523" max="523" width="9.140625" style="97"/>
    <col min="524" max="524" width="11.85546875" style="97" customWidth="1"/>
    <col min="525" max="525" width="14.85546875" style="97" customWidth="1"/>
    <col min="526" max="526" width="10.85546875" style="97" customWidth="1"/>
    <col min="527" max="768" width="9.140625" style="97"/>
    <col min="769" max="769" width="3.140625" style="97" customWidth="1"/>
    <col min="770" max="770" width="88.85546875" style="97" customWidth="1"/>
    <col min="771" max="771" width="11.42578125" style="97" customWidth="1"/>
    <col min="772" max="773" width="0" style="97" hidden="1" customWidth="1"/>
    <col min="774" max="774" width="17.28515625" style="97" customWidth="1"/>
    <col min="775" max="775" width="0" style="97" hidden="1" customWidth="1"/>
    <col min="776" max="776" width="15.28515625" style="97" customWidth="1"/>
    <col min="777" max="777" width="15.7109375" style="97" customWidth="1"/>
    <col min="778" max="778" width="15.5703125" style="97" customWidth="1"/>
    <col min="779" max="779" width="9.140625" style="97"/>
    <col min="780" max="780" width="11.85546875" style="97" customWidth="1"/>
    <col min="781" max="781" width="14.85546875" style="97" customWidth="1"/>
    <col min="782" max="782" width="10.85546875" style="97" customWidth="1"/>
    <col min="783" max="1024" width="9.140625" style="97"/>
    <col min="1025" max="1025" width="3.140625" style="97" customWidth="1"/>
    <col min="1026" max="1026" width="88.85546875" style="97" customWidth="1"/>
    <col min="1027" max="1027" width="11.42578125" style="97" customWidth="1"/>
    <col min="1028" max="1029" width="0" style="97" hidden="1" customWidth="1"/>
    <col min="1030" max="1030" width="17.28515625" style="97" customWidth="1"/>
    <col min="1031" max="1031" width="0" style="97" hidden="1" customWidth="1"/>
    <col min="1032" max="1032" width="15.28515625" style="97" customWidth="1"/>
    <col min="1033" max="1033" width="15.7109375" style="97" customWidth="1"/>
    <col min="1034" max="1034" width="15.5703125" style="97" customWidth="1"/>
    <col min="1035" max="1035" width="9.140625" style="97"/>
    <col min="1036" max="1036" width="11.85546875" style="97" customWidth="1"/>
    <col min="1037" max="1037" width="14.85546875" style="97" customWidth="1"/>
    <col min="1038" max="1038" width="10.85546875" style="97" customWidth="1"/>
    <col min="1039" max="1280" width="9.140625" style="97"/>
    <col min="1281" max="1281" width="3.140625" style="97" customWidth="1"/>
    <col min="1282" max="1282" width="88.85546875" style="97" customWidth="1"/>
    <col min="1283" max="1283" width="11.42578125" style="97" customWidth="1"/>
    <col min="1284" max="1285" width="0" style="97" hidden="1" customWidth="1"/>
    <col min="1286" max="1286" width="17.28515625" style="97" customWidth="1"/>
    <col min="1287" max="1287" width="0" style="97" hidden="1" customWidth="1"/>
    <col min="1288" max="1288" width="15.28515625" style="97" customWidth="1"/>
    <col min="1289" max="1289" width="15.7109375" style="97" customWidth="1"/>
    <col min="1290" max="1290" width="15.5703125" style="97" customWidth="1"/>
    <col min="1291" max="1291" width="9.140625" style="97"/>
    <col min="1292" max="1292" width="11.85546875" style="97" customWidth="1"/>
    <col min="1293" max="1293" width="14.85546875" style="97" customWidth="1"/>
    <col min="1294" max="1294" width="10.85546875" style="97" customWidth="1"/>
    <col min="1295" max="1536" width="9.140625" style="97"/>
    <col min="1537" max="1537" width="3.140625" style="97" customWidth="1"/>
    <col min="1538" max="1538" width="88.85546875" style="97" customWidth="1"/>
    <col min="1539" max="1539" width="11.42578125" style="97" customWidth="1"/>
    <col min="1540" max="1541" width="0" style="97" hidden="1" customWidth="1"/>
    <col min="1542" max="1542" width="17.28515625" style="97" customWidth="1"/>
    <col min="1543" max="1543" width="0" style="97" hidden="1" customWidth="1"/>
    <col min="1544" max="1544" width="15.28515625" style="97" customWidth="1"/>
    <col min="1545" max="1545" width="15.7109375" style="97" customWidth="1"/>
    <col min="1546" max="1546" width="15.5703125" style="97" customWidth="1"/>
    <col min="1547" max="1547" width="9.140625" style="97"/>
    <col min="1548" max="1548" width="11.85546875" style="97" customWidth="1"/>
    <col min="1549" max="1549" width="14.85546875" style="97" customWidth="1"/>
    <col min="1550" max="1550" width="10.85546875" style="97" customWidth="1"/>
    <col min="1551" max="1792" width="9.140625" style="97"/>
    <col min="1793" max="1793" width="3.140625" style="97" customWidth="1"/>
    <col min="1794" max="1794" width="88.85546875" style="97" customWidth="1"/>
    <col min="1795" max="1795" width="11.42578125" style="97" customWidth="1"/>
    <col min="1796" max="1797" width="0" style="97" hidden="1" customWidth="1"/>
    <col min="1798" max="1798" width="17.28515625" style="97" customWidth="1"/>
    <col min="1799" max="1799" width="0" style="97" hidden="1" customWidth="1"/>
    <col min="1800" max="1800" width="15.28515625" style="97" customWidth="1"/>
    <col min="1801" max="1801" width="15.7109375" style="97" customWidth="1"/>
    <col min="1802" max="1802" width="15.5703125" style="97" customWidth="1"/>
    <col min="1803" max="1803" width="9.140625" style="97"/>
    <col min="1804" max="1804" width="11.85546875" style="97" customWidth="1"/>
    <col min="1805" max="1805" width="14.85546875" style="97" customWidth="1"/>
    <col min="1806" max="1806" width="10.85546875" style="97" customWidth="1"/>
    <col min="1807" max="2048" width="9.140625" style="97"/>
    <col min="2049" max="2049" width="3.140625" style="97" customWidth="1"/>
    <col min="2050" max="2050" width="88.85546875" style="97" customWidth="1"/>
    <col min="2051" max="2051" width="11.42578125" style="97" customWidth="1"/>
    <col min="2052" max="2053" width="0" style="97" hidden="1" customWidth="1"/>
    <col min="2054" max="2054" width="17.28515625" style="97" customWidth="1"/>
    <col min="2055" max="2055" width="0" style="97" hidden="1" customWidth="1"/>
    <col min="2056" max="2056" width="15.28515625" style="97" customWidth="1"/>
    <col min="2057" max="2057" width="15.7109375" style="97" customWidth="1"/>
    <col min="2058" max="2058" width="15.5703125" style="97" customWidth="1"/>
    <col min="2059" max="2059" width="9.140625" style="97"/>
    <col min="2060" max="2060" width="11.85546875" style="97" customWidth="1"/>
    <col min="2061" max="2061" width="14.85546875" style="97" customWidth="1"/>
    <col min="2062" max="2062" width="10.85546875" style="97" customWidth="1"/>
    <col min="2063" max="2304" width="9.140625" style="97"/>
    <col min="2305" max="2305" width="3.140625" style="97" customWidth="1"/>
    <col min="2306" max="2306" width="88.85546875" style="97" customWidth="1"/>
    <col min="2307" max="2307" width="11.42578125" style="97" customWidth="1"/>
    <col min="2308" max="2309" width="0" style="97" hidden="1" customWidth="1"/>
    <col min="2310" max="2310" width="17.28515625" style="97" customWidth="1"/>
    <col min="2311" max="2311" width="0" style="97" hidden="1" customWidth="1"/>
    <col min="2312" max="2312" width="15.28515625" style="97" customWidth="1"/>
    <col min="2313" max="2313" width="15.7109375" style="97" customWidth="1"/>
    <col min="2314" max="2314" width="15.5703125" style="97" customWidth="1"/>
    <col min="2315" max="2315" width="9.140625" style="97"/>
    <col min="2316" max="2316" width="11.85546875" style="97" customWidth="1"/>
    <col min="2317" max="2317" width="14.85546875" style="97" customWidth="1"/>
    <col min="2318" max="2318" width="10.85546875" style="97" customWidth="1"/>
    <col min="2319" max="2560" width="9.140625" style="97"/>
    <col min="2561" max="2561" width="3.140625" style="97" customWidth="1"/>
    <col min="2562" max="2562" width="88.85546875" style="97" customWidth="1"/>
    <col min="2563" max="2563" width="11.42578125" style="97" customWidth="1"/>
    <col min="2564" max="2565" width="0" style="97" hidden="1" customWidth="1"/>
    <col min="2566" max="2566" width="17.28515625" style="97" customWidth="1"/>
    <col min="2567" max="2567" width="0" style="97" hidden="1" customWidth="1"/>
    <col min="2568" max="2568" width="15.28515625" style="97" customWidth="1"/>
    <col min="2569" max="2569" width="15.7109375" style="97" customWidth="1"/>
    <col min="2570" max="2570" width="15.5703125" style="97" customWidth="1"/>
    <col min="2571" max="2571" width="9.140625" style="97"/>
    <col min="2572" max="2572" width="11.85546875" style="97" customWidth="1"/>
    <col min="2573" max="2573" width="14.85546875" style="97" customWidth="1"/>
    <col min="2574" max="2574" width="10.85546875" style="97" customWidth="1"/>
    <col min="2575" max="2816" width="9.140625" style="97"/>
    <col min="2817" max="2817" width="3.140625" style="97" customWidth="1"/>
    <col min="2818" max="2818" width="88.85546875" style="97" customWidth="1"/>
    <col min="2819" max="2819" width="11.42578125" style="97" customWidth="1"/>
    <col min="2820" max="2821" width="0" style="97" hidden="1" customWidth="1"/>
    <col min="2822" max="2822" width="17.28515625" style="97" customWidth="1"/>
    <col min="2823" max="2823" width="0" style="97" hidden="1" customWidth="1"/>
    <col min="2824" max="2824" width="15.28515625" style="97" customWidth="1"/>
    <col min="2825" max="2825" width="15.7109375" style="97" customWidth="1"/>
    <col min="2826" max="2826" width="15.5703125" style="97" customWidth="1"/>
    <col min="2827" max="2827" width="9.140625" style="97"/>
    <col min="2828" max="2828" width="11.85546875" style="97" customWidth="1"/>
    <col min="2829" max="2829" width="14.85546875" style="97" customWidth="1"/>
    <col min="2830" max="2830" width="10.85546875" style="97" customWidth="1"/>
    <col min="2831" max="3072" width="9.140625" style="97"/>
    <col min="3073" max="3073" width="3.140625" style="97" customWidth="1"/>
    <col min="3074" max="3074" width="88.85546875" style="97" customWidth="1"/>
    <col min="3075" max="3075" width="11.42578125" style="97" customWidth="1"/>
    <col min="3076" max="3077" width="0" style="97" hidden="1" customWidth="1"/>
    <col min="3078" max="3078" width="17.28515625" style="97" customWidth="1"/>
    <col min="3079" max="3079" width="0" style="97" hidden="1" customWidth="1"/>
    <col min="3080" max="3080" width="15.28515625" style="97" customWidth="1"/>
    <col min="3081" max="3081" width="15.7109375" style="97" customWidth="1"/>
    <col min="3082" max="3082" width="15.5703125" style="97" customWidth="1"/>
    <col min="3083" max="3083" width="9.140625" style="97"/>
    <col min="3084" max="3084" width="11.85546875" style="97" customWidth="1"/>
    <col min="3085" max="3085" width="14.85546875" style="97" customWidth="1"/>
    <col min="3086" max="3086" width="10.85546875" style="97" customWidth="1"/>
    <col min="3087" max="3328" width="9.140625" style="97"/>
    <col min="3329" max="3329" width="3.140625" style="97" customWidth="1"/>
    <col min="3330" max="3330" width="88.85546875" style="97" customWidth="1"/>
    <col min="3331" max="3331" width="11.42578125" style="97" customWidth="1"/>
    <col min="3332" max="3333" width="0" style="97" hidden="1" customWidth="1"/>
    <col min="3334" max="3334" width="17.28515625" style="97" customWidth="1"/>
    <col min="3335" max="3335" width="0" style="97" hidden="1" customWidth="1"/>
    <col min="3336" max="3336" width="15.28515625" style="97" customWidth="1"/>
    <col min="3337" max="3337" width="15.7109375" style="97" customWidth="1"/>
    <col min="3338" max="3338" width="15.5703125" style="97" customWidth="1"/>
    <col min="3339" max="3339" width="9.140625" style="97"/>
    <col min="3340" max="3340" width="11.85546875" style="97" customWidth="1"/>
    <col min="3341" max="3341" width="14.85546875" style="97" customWidth="1"/>
    <col min="3342" max="3342" width="10.85546875" style="97" customWidth="1"/>
    <col min="3343" max="3584" width="9.140625" style="97"/>
    <col min="3585" max="3585" width="3.140625" style="97" customWidth="1"/>
    <col min="3586" max="3586" width="88.85546875" style="97" customWidth="1"/>
    <col min="3587" max="3587" width="11.42578125" style="97" customWidth="1"/>
    <col min="3588" max="3589" width="0" style="97" hidden="1" customWidth="1"/>
    <col min="3590" max="3590" width="17.28515625" style="97" customWidth="1"/>
    <col min="3591" max="3591" width="0" style="97" hidden="1" customWidth="1"/>
    <col min="3592" max="3592" width="15.28515625" style="97" customWidth="1"/>
    <col min="3593" max="3593" width="15.7109375" style="97" customWidth="1"/>
    <col min="3594" max="3594" width="15.5703125" style="97" customWidth="1"/>
    <col min="3595" max="3595" width="9.140625" style="97"/>
    <col min="3596" max="3596" width="11.85546875" style="97" customWidth="1"/>
    <col min="3597" max="3597" width="14.85546875" style="97" customWidth="1"/>
    <col min="3598" max="3598" width="10.85546875" style="97" customWidth="1"/>
    <col min="3599" max="3840" width="9.140625" style="97"/>
    <col min="3841" max="3841" width="3.140625" style="97" customWidth="1"/>
    <col min="3842" max="3842" width="88.85546875" style="97" customWidth="1"/>
    <col min="3843" max="3843" width="11.42578125" style="97" customWidth="1"/>
    <col min="3844" max="3845" width="0" style="97" hidden="1" customWidth="1"/>
    <col min="3846" max="3846" width="17.28515625" style="97" customWidth="1"/>
    <col min="3847" max="3847" width="0" style="97" hidden="1" customWidth="1"/>
    <col min="3848" max="3848" width="15.28515625" style="97" customWidth="1"/>
    <col min="3849" max="3849" width="15.7109375" style="97" customWidth="1"/>
    <col min="3850" max="3850" width="15.5703125" style="97" customWidth="1"/>
    <col min="3851" max="3851" width="9.140625" style="97"/>
    <col min="3852" max="3852" width="11.85546875" style="97" customWidth="1"/>
    <col min="3853" max="3853" width="14.85546875" style="97" customWidth="1"/>
    <col min="3854" max="3854" width="10.85546875" style="97" customWidth="1"/>
    <col min="3855" max="4096" width="9.140625" style="97"/>
    <col min="4097" max="4097" width="3.140625" style="97" customWidth="1"/>
    <col min="4098" max="4098" width="88.85546875" style="97" customWidth="1"/>
    <col min="4099" max="4099" width="11.42578125" style="97" customWidth="1"/>
    <col min="4100" max="4101" width="0" style="97" hidden="1" customWidth="1"/>
    <col min="4102" max="4102" width="17.28515625" style="97" customWidth="1"/>
    <col min="4103" max="4103" width="0" style="97" hidden="1" customWidth="1"/>
    <col min="4104" max="4104" width="15.28515625" style="97" customWidth="1"/>
    <col min="4105" max="4105" width="15.7109375" style="97" customWidth="1"/>
    <col min="4106" max="4106" width="15.5703125" style="97" customWidth="1"/>
    <col min="4107" max="4107" width="9.140625" style="97"/>
    <col min="4108" max="4108" width="11.85546875" style="97" customWidth="1"/>
    <col min="4109" max="4109" width="14.85546875" style="97" customWidth="1"/>
    <col min="4110" max="4110" width="10.85546875" style="97" customWidth="1"/>
    <col min="4111" max="4352" width="9.140625" style="97"/>
    <col min="4353" max="4353" width="3.140625" style="97" customWidth="1"/>
    <col min="4354" max="4354" width="88.85546875" style="97" customWidth="1"/>
    <col min="4355" max="4355" width="11.42578125" style="97" customWidth="1"/>
    <col min="4356" max="4357" width="0" style="97" hidden="1" customWidth="1"/>
    <col min="4358" max="4358" width="17.28515625" style="97" customWidth="1"/>
    <col min="4359" max="4359" width="0" style="97" hidden="1" customWidth="1"/>
    <col min="4360" max="4360" width="15.28515625" style="97" customWidth="1"/>
    <col min="4361" max="4361" width="15.7109375" style="97" customWidth="1"/>
    <col min="4362" max="4362" width="15.5703125" style="97" customWidth="1"/>
    <col min="4363" max="4363" width="9.140625" style="97"/>
    <col min="4364" max="4364" width="11.85546875" style="97" customWidth="1"/>
    <col min="4365" max="4365" width="14.85546875" style="97" customWidth="1"/>
    <col min="4366" max="4366" width="10.85546875" style="97" customWidth="1"/>
    <col min="4367" max="4608" width="9.140625" style="97"/>
    <col min="4609" max="4609" width="3.140625" style="97" customWidth="1"/>
    <col min="4610" max="4610" width="88.85546875" style="97" customWidth="1"/>
    <col min="4611" max="4611" width="11.42578125" style="97" customWidth="1"/>
    <col min="4612" max="4613" width="0" style="97" hidden="1" customWidth="1"/>
    <col min="4614" max="4614" width="17.28515625" style="97" customWidth="1"/>
    <col min="4615" max="4615" width="0" style="97" hidden="1" customWidth="1"/>
    <col min="4616" max="4616" width="15.28515625" style="97" customWidth="1"/>
    <col min="4617" max="4617" width="15.7109375" style="97" customWidth="1"/>
    <col min="4618" max="4618" width="15.5703125" style="97" customWidth="1"/>
    <col min="4619" max="4619" width="9.140625" style="97"/>
    <col min="4620" max="4620" width="11.85546875" style="97" customWidth="1"/>
    <col min="4621" max="4621" width="14.85546875" style="97" customWidth="1"/>
    <col min="4622" max="4622" width="10.85546875" style="97" customWidth="1"/>
    <col min="4623" max="4864" width="9.140625" style="97"/>
    <col min="4865" max="4865" width="3.140625" style="97" customWidth="1"/>
    <col min="4866" max="4866" width="88.85546875" style="97" customWidth="1"/>
    <col min="4867" max="4867" width="11.42578125" style="97" customWidth="1"/>
    <col min="4868" max="4869" width="0" style="97" hidden="1" customWidth="1"/>
    <col min="4870" max="4870" width="17.28515625" style="97" customWidth="1"/>
    <col min="4871" max="4871" width="0" style="97" hidden="1" customWidth="1"/>
    <col min="4872" max="4872" width="15.28515625" style="97" customWidth="1"/>
    <col min="4873" max="4873" width="15.7109375" style="97" customWidth="1"/>
    <col min="4874" max="4874" width="15.5703125" style="97" customWidth="1"/>
    <col min="4875" max="4875" width="9.140625" style="97"/>
    <col min="4876" max="4876" width="11.85546875" style="97" customWidth="1"/>
    <col min="4877" max="4877" width="14.85546875" style="97" customWidth="1"/>
    <col min="4878" max="4878" width="10.85546875" style="97" customWidth="1"/>
    <col min="4879" max="5120" width="9.140625" style="97"/>
    <col min="5121" max="5121" width="3.140625" style="97" customWidth="1"/>
    <col min="5122" max="5122" width="88.85546875" style="97" customWidth="1"/>
    <col min="5123" max="5123" width="11.42578125" style="97" customWidth="1"/>
    <col min="5124" max="5125" width="0" style="97" hidden="1" customWidth="1"/>
    <col min="5126" max="5126" width="17.28515625" style="97" customWidth="1"/>
    <col min="5127" max="5127" width="0" style="97" hidden="1" customWidth="1"/>
    <col min="5128" max="5128" width="15.28515625" style="97" customWidth="1"/>
    <col min="5129" max="5129" width="15.7109375" style="97" customWidth="1"/>
    <col min="5130" max="5130" width="15.5703125" style="97" customWidth="1"/>
    <col min="5131" max="5131" width="9.140625" style="97"/>
    <col min="5132" max="5132" width="11.85546875" style="97" customWidth="1"/>
    <col min="5133" max="5133" width="14.85546875" style="97" customWidth="1"/>
    <col min="5134" max="5134" width="10.85546875" style="97" customWidth="1"/>
    <col min="5135" max="5376" width="9.140625" style="97"/>
    <col min="5377" max="5377" width="3.140625" style="97" customWidth="1"/>
    <col min="5378" max="5378" width="88.85546875" style="97" customWidth="1"/>
    <col min="5379" max="5379" width="11.42578125" style="97" customWidth="1"/>
    <col min="5380" max="5381" width="0" style="97" hidden="1" customWidth="1"/>
    <col min="5382" max="5382" width="17.28515625" style="97" customWidth="1"/>
    <col min="5383" max="5383" width="0" style="97" hidden="1" customWidth="1"/>
    <col min="5384" max="5384" width="15.28515625" style="97" customWidth="1"/>
    <col min="5385" max="5385" width="15.7109375" style="97" customWidth="1"/>
    <col min="5386" max="5386" width="15.5703125" style="97" customWidth="1"/>
    <col min="5387" max="5387" width="9.140625" style="97"/>
    <col min="5388" max="5388" width="11.85546875" style="97" customWidth="1"/>
    <col min="5389" max="5389" width="14.85546875" style="97" customWidth="1"/>
    <col min="5390" max="5390" width="10.85546875" style="97" customWidth="1"/>
    <col min="5391" max="5632" width="9.140625" style="97"/>
    <col min="5633" max="5633" width="3.140625" style="97" customWidth="1"/>
    <col min="5634" max="5634" width="88.85546875" style="97" customWidth="1"/>
    <col min="5635" max="5635" width="11.42578125" style="97" customWidth="1"/>
    <col min="5636" max="5637" width="0" style="97" hidden="1" customWidth="1"/>
    <col min="5638" max="5638" width="17.28515625" style="97" customWidth="1"/>
    <col min="5639" max="5639" width="0" style="97" hidden="1" customWidth="1"/>
    <col min="5640" max="5640" width="15.28515625" style="97" customWidth="1"/>
    <col min="5641" max="5641" width="15.7109375" style="97" customWidth="1"/>
    <col min="5642" max="5642" width="15.5703125" style="97" customWidth="1"/>
    <col min="5643" max="5643" width="9.140625" style="97"/>
    <col min="5644" max="5644" width="11.85546875" style="97" customWidth="1"/>
    <col min="5645" max="5645" width="14.85546875" style="97" customWidth="1"/>
    <col min="5646" max="5646" width="10.85546875" style="97" customWidth="1"/>
    <col min="5647" max="5888" width="9.140625" style="97"/>
    <col min="5889" max="5889" width="3.140625" style="97" customWidth="1"/>
    <col min="5890" max="5890" width="88.85546875" style="97" customWidth="1"/>
    <col min="5891" max="5891" width="11.42578125" style="97" customWidth="1"/>
    <col min="5892" max="5893" width="0" style="97" hidden="1" customWidth="1"/>
    <col min="5894" max="5894" width="17.28515625" style="97" customWidth="1"/>
    <col min="5895" max="5895" width="0" style="97" hidden="1" customWidth="1"/>
    <col min="5896" max="5896" width="15.28515625" style="97" customWidth="1"/>
    <col min="5897" max="5897" width="15.7109375" style="97" customWidth="1"/>
    <col min="5898" max="5898" width="15.5703125" style="97" customWidth="1"/>
    <col min="5899" max="5899" width="9.140625" style="97"/>
    <col min="5900" max="5900" width="11.85546875" style="97" customWidth="1"/>
    <col min="5901" max="5901" width="14.85546875" style="97" customWidth="1"/>
    <col min="5902" max="5902" width="10.85546875" style="97" customWidth="1"/>
    <col min="5903" max="6144" width="9.140625" style="97"/>
    <col min="6145" max="6145" width="3.140625" style="97" customWidth="1"/>
    <col min="6146" max="6146" width="88.85546875" style="97" customWidth="1"/>
    <col min="6147" max="6147" width="11.42578125" style="97" customWidth="1"/>
    <col min="6148" max="6149" width="0" style="97" hidden="1" customWidth="1"/>
    <col min="6150" max="6150" width="17.28515625" style="97" customWidth="1"/>
    <col min="6151" max="6151" width="0" style="97" hidden="1" customWidth="1"/>
    <col min="6152" max="6152" width="15.28515625" style="97" customWidth="1"/>
    <col min="6153" max="6153" width="15.7109375" style="97" customWidth="1"/>
    <col min="6154" max="6154" width="15.5703125" style="97" customWidth="1"/>
    <col min="6155" max="6155" width="9.140625" style="97"/>
    <col min="6156" max="6156" width="11.85546875" style="97" customWidth="1"/>
    <col min="6157" max="6157" width="14.85546875" style="97" customWidth="1"/>
    <col min="6158" max="6158" width="10.85546875" style="97" customWidth="1"/>
    <col min="6159" max="6400" width="9.140625" style="97"/>
    <col min="6401" max="6401" width="3.140625" style="97" customWidth="1"/>
    <col min="6402" max="6402" width="88.85546875" style="97" customWidth="1"/>
    <col min="6403" max="6403" width="11.42578125" style="97" customWidth="1"/>
    <col min="6404" max="6405" width="0" style="97" hidden="1" customWidth="1"/>
    <col min="6406" max="6406" width="17.28515625" style="97" customWidth="1"/>
    <col min="6407" max="6407" width="0" style="97" hidden="1" customWidth="1"/>
    <col min="6408" max="6408" width="15.28515625" style="97" customWidth="1"/>
    <col min="6409" max="6409" width="15.7109375" style="97" customWidth="1"/>
    <col min="6410" max="6410" width="15.5703125" style="97" customWidth="1"/>
    <col min="6411" max="6411" width="9.140625" style="97"/>
    <col min="6412" max="6412" width="11.85546875" style="97" customWidth="1"/>
    <col min="6413" max="6413" width="14.85546875" style="97" customWidth="1"/>
    <col min="6414" max="6414" width="10.85546875" style="97" customWidth="1"/>
    <col min="6415" max="6656" width="9.140625" style="97"/>
    <col min="6657" max="6657" width="3.140625" style="97" customWidth="1"/>
    <col min="6658" max="6658" width="88.85546875" style="97" customWidth="1"/>
    <col min="6659" max="6659" width="11.42578125" style="97" customWidth="1"/>
    <col min="6660" max="6661" width="0" style="97" hidden="1" customWidth="1"/>
    <col min="6662" max="6662" width="17.28515625" style="97" customWidth="1"/>
    <col min="6663" max="6663" width="0" style="97" hidden="1" customWidth="1"/>
    <col min="6664" max="6664" width="15.28515625" style="97" customWidth="1"/>
    <col min="6665" max="6665" width="15.7109375" style="97" customWidth="1"/>
    <col min="6666" max="6666" width="15.5703125" style="97" customWidth="1"/>
    <col min="6667" max="6667" width="9.140625" style="97"/>
    <col min="6668" max="6668" width="11.85546875" style="97" customWidth="1"/>
    <col min="6669" max="6669" width="14.85546875" style="97" customWidth="1"/>
    <col min="6670" max="6670" width="10.85546875" style="97" customWidth="1"/>
    <col min="6671" max="6912" width="9.140625" style="97"/>
    <col min="6913" max="6913" width="3.140625" style="97" customWidth="1"/>
    <col min="6914" max="6914" width="88.85546875" style="97" customWidth="1"/>
    <col min="6915" max="6915" width="11.42578125" style="97" customWidth="1"/>
    <col min="6916" max="6917" width="0" style="97" hidden="1" customWidth="1"/>
    <col min="6918" max="6918" width="17.28515625" style="97" customWidth="1"/>
    <col min="6919" max="6919" width="0" style="97" hidden="1" customWidth="1"/>
    <col min="6920" max="6920" width="15.28515625" style="97" customWidth="1"/>
    <col min="6921" max="6921" width="15.7109375" style="97" customWidth="1"/>
    <col min="6922" max="6922" width="15.5703125" style="97" customWidth="1"/>
    <col min="6923" max="6923" width="9.140625" style="97"/>
    <col min="6924" max="6924" width="11.85546875" style="97" customWidth="1"/>
    <col min="6925" max="6925" width="14.85546875" style="97" customWidth="1"/>
    <col min="6926" max="6926" width="10.85546875" style="97" customWidth="1"/>
    <col min="6927" max="7168" width="9.140625" style="97"/>
    <col min="7169" max="7169" width="3.140625" style="97" customWidth="1"/>
    <col min="7170" max="7170" width="88.85546875" style="97" customWidth="1"/>
    <col min="7171" max="7171" width="11.42578125" style="97" customWidth="1"/>
    <col min="7172" max="7173" width="0" style="97" hidden="1" customWidth="1"/>
    <col min="7174" max="7174" width="17.28515625" style="97" customWidth="1"/>
    <col min="7175" max="7175" width="0" style="97" hidden="1" customWidth="1"/>
    <col min="7176" max="7176" width="15.28515625" style="97" customWidth="1"/>
    <col min="7177" max="7177" width="15.7109375" style="97" customWidth="1"/>
    <col min="7178" max="7178" width="15.5703125" style="97" customWidth="1"/>
    <col min="7179" max="7179" width="9.140625" style="97"/>
    <col min="7180" max="7180" width="11.85546875" style="97" customWidth="1"/>
    <col min="7181" max="7181" width="14.85546875" style="97" customWidth="1"/>
    <col min="7182" max="7182" width="10.85546875" style="97" customWidth="1"/>
    <col min="7183" max="7424" width="9.140625" style="97"/>
    <col min="7425" max="7425" width="3.140625" style="97" customWidth="1"/>
    <col min="7426" max="7426" width="88.85546875" style="97" customWidth="1"/>
    <col min="7427" max="7427" width="11.42578125" style="97" customWidth="1"/>
    <col min="7428" max="7429" width="0" style="97" hidden="1" customWidth="1"/>
    <col min="7430" max="7430" width="17.28515625" style="97" customWidth="1"/>
    <col min="7431" max="7431" width="0" style="97" hidden="1" customWidth="1"/>
    <col min="7432" max="7432" width="15.28515625" style="97" customWidth="1"/>
    <col min="7433" max="7433" width="15.7109375" style="97" customWidth="1"/>
    <col min="7434" max="7434" width="15.5703125" style="97" customWidth="1"/>
    <col min="7435" max="7435" width="9.140625" style="97"/>
    <col min="7436" max="7436" width="11.85546875" style="97" customWidth="1"/>
    <col min="7437" max="7437" width="14.85546875" style="97" customWidth="1"/>
    <col min="7438" max="7438" width="10.85546875" style="97" customWidth="1"/>
    <col min="7439" max="7680" width="9.140625" style="97"/>
    <col min="7681" max="7681" width="3.140625" style="97" customWidth="1"/>
    <col min="7682" max="7682" width="88.85546875" style="97" customWidth="1"/>
    <col min="7683" max="7683" width="11.42578125" style="97" customWidth="1"/>
    <col min="7684" max="7685" width="0" style="97" hidden="1" customWidth="1"/>
    <col min="7686" max="7686" width="17.28515625" style="97" customWidth="1"/>
    <col min="7687" max="7687" width="0" style="97" hidden="1" customWidth="1"/>
    <col min="7688" max="7688" width="15.28515625" style="97" customWidth="1"/>
    <col min="7689" max="7689" width="15.7109375" style="97" customWidth="1"/>
    <col min="7690" max="7690" width="15.5703125" style="97" customWidth="1"/>
    <col min="7691" max="7691" width="9.140625" style="97"/>
    <col min="7692" max="7692" width="11.85546875" style="97" customWidth="1"/>
    <col min="7693" max="7693" width="14.85546875" style="97" customWidth="1"/>
    <col min="7694" max="7694" width="10.85546875" style="97" customWidth="1"/>
    <col min="7695" max="7936" width="9.140625" style="97"/>
    <col min="7937" max="7937" width="3.140625" style="97" customWidth="1"/>
    <col min="7938" max="7938" width="88.85546875" style="97" customWidth="1"/>
    <col min="7939" max="7939" width="11.42578125" style="97" customWidth="1"/>
    <col min="7940" max="7941" width="0" style="97" hidden="1" customWidth="1"/>
    <col min="7942" max="7942" width="17.28515625" style="97" customWidth="1"/>
    <col min="7943" max="7943" width="0" style="97" hidden="1" customWidth="1"/>
    <col min="7944" max="7944" width="15.28515625" style="97" customWidth="1"/>
    <col min="7945" max="7945" width="15.7109375" style="97" customWidth="1"/>
    <col min="7946" max="7946" width="15.5703125" style="97" customWidth="1"/>
    <col min="7947" max="7947" width="9.140625" style="97"/>
    <col min="7948" max="7948" width="11.85546875" style="97" customWidth="1"/>
    <col min="7949" max="7949" width="14.85546875" style="97" customWidth="1"/>
    <col min="7950" max="7950" width="10.85546875" style="97" customWidth="1"/>
    <col min="7951" max="8192" width="9.140625" style="97"/>
    <col min="8193" max="8193" width="3.140625" style="97" customWidth="1"/>
    <col min="8194" max="8194" width="88.85546875" style="97" customWidth="1"/>
    <col min="8195" max="8195" width="11.42578125" style="97" customWidth="1"/>
    <col min="8196" max="8197" width="0" style="97" hidden="1" customWidth="1"/>
    <col min="8198" max="8198" width="17.28515625" style="97" customWidth="1"/>
    <col min="8199" max="8199" width="0" style="97" hidden="1" customWidth="1"/>
    <col min="8200" max="8200" width="15.28515625" style="97" customWidth="1"/>
    <col min="8201" max="8201" width="15.7109375" style="97" customWidth="1"/>
    <col min="8202" max="8202" width="15.5703125" style="97" customWidth="1"/>
    <col min="8203" max="8203" width="9.140625" style="97"/>
    <col min="8204" max="8204" width="11.85546875" style="97" customWidth="1"/>
    <col min="8205" max="8205" width="14.85546875" style="97" customWidth="1"/>
    <col min="8206" max="8206" width="10.85546875" style="97" customWidth="1"/>
    <col min="8207" max="8448" width="9.140625" style="97"/>
    <col min="8449" max="8449" width="3.140625" style="97" customWidth="1"/>
    <col min="8450" max="8450" width="88.85546875" style="97" customWidth="1"/>
    <col min="8451" max="8451" width="11.42578125" style="97" customWidth="1"/>
    <col min="8452" max="8453" width="0" style="97" hidden="1" customWidth="1"/>
    <col min="8454" max="8454" width="17.28515625" style="97" customWidth="1"/>
    <col min="8455" max="8455" width="0" style="97" hidden="1" customWidth="1"/>
    <col min="8456" max="8456" width="15.28515625" style="97" customWidth="1"/>
    <col min="8457" max="8457" width="15.7109375" style="97" customWidth="1"/>
    <col min="8458" max="8458" width="15.5703125" style="97" customWidth="1"/>
    <col min="8459" max="8459" width="9.140625" style="97"/>
    <col min="8460" max="8460" width="11.85546875" style="97" customWidth="1"/>
    <col min="8461" max="8461" width="14.85546875" style="97" customWidth="1"/>
    <col min="8462" max="8462" width="10.85546875" style="97" customWidth="1"/>
    <col min="8463" max="8704" width="9.140625" style="97"/>
    <col min="8705" max="8705" width="3.140625" style="97" customWidth="1"/>
    <col min="8706" max="8706" width="88.85546875" style="97" customWidth="1"/>
    <col min="8707" max="8707" width="11.42578125" style="97" customWidth="1"/>
    <col min="8708" max="8709" width="0" style="97" hidden="1" customWidth="1"/>
    <col min="8710" max="8710" width="17.28515625" style="97" customWidth="1"/>
    <col min="8711" max="8711" width="0" style="97" hidden="1" customWidth="1"/>
    <col min="8712" max="8712" width="15.28515625" style="97" customWidth="1"/>
    <col min="8713" max="8713" width="15.7109375" style="97" customWidth="1"/>
    <col min="8714" max="8714" width="15.5703125" style="97" customWidth="1"/>
    <col min="8715" max="8715" width="9.140625" style="97"/>
    <col min="8716" max="8716" width="11.85546875" style="97" customWidth="1"/>
    <col min="8717" max="8717" width="14.85546875" style="97" customWidth="1"/>
    <col min="8718" max="8718" width="10.85546875" style="97" customWidth="1"/>
    <col min="8719" max="8960" width="9.140625" style="97"/>
    <col min="8961" max="8961" width="3.140625" style="97" customWidth="1"/>
    <col min="8962" max="8962" width="88.85546875" style="97" customWidth="1"/>
    <col min="8963" max="8963" width="11.42578125" style="97" customWidth="1"/>
    <col min="8964" max="8965" width="0" style="97" hidden="1" customWidth="1"/>
    <col min="8966" max="8966" width="17.28515625" style="97" customWidth="1"/>
    <col min="8967" max="8967" width="0" style="97" hidden="1" customWidth="1"/>
    <col min="8968" max="8968" width="15.28515625" style="97" customWidth="1"/>
    <col min="8969" max="8969" width="15.7109375" style="97" customWidth="1"/>
    <col min="8970" max="8970" width="15.5703125" style="97" customWidth="1"/>
    <col min="8971" max="8971" width="9.140625" style="97"/>
    <col min="8972" max="8972" width="11.85546875" style="97" customWidth="1"/>
    <col min="8973" max="8973" width="14.85546875" style="97" customWidth="1"/>
    <col min="8974" max="8974" width="10.85546875" style="97" customWidth="1"/>
    <col min="8975" max="9216" width="9.140625" style="97"/>
    <col min="9217" max="9217" width="3.140625" style="97" customWidth="1"/>
    <col min="9218" max="9218" width="88.85546875" style="97" customWidth="1"/>
    <col min="9219" max="9219" width="11.42578125" style="97" customWidth="1"/>
    <col min="9220" max="9221" width="0" style="97" hidden="1" customWidth="1"/>
    <col min="9222" max="9222" width="17.28515625" style="97" customWidth="1"/>
    <col min="9223" max="9223" width="0" style="97" hidden="1" customWidth="1"/>
    <col min="9224" max="9224" width="15.28515625" style="97" customWidth="1"/>
    <col min="9225" max="9225" width="15.7109375" style="97" customWidth="1"/>
    <col min="9226" max="9226" width="15.5703125" style="97" customWidth="1"/>
    <col min="9227" max="9227" width="9.140625" style="97"/>
    <col min="9228" max="9228" width="11.85546875" style="97" customWidth="1"/>
    <col min="9229" max="9229" width="14.85546875" style="97" customWidth="1"/>
    <col min="9230" max="9230" width="10.85546875" style="97" customWidth="1"/>
    <col min="9231" max="9472" width="9.140625" style="97"/>
    <col min="9473" max="9473" width="3.140625" style="97" customWidth="1"/>
    <col min="9474" max="9474" width="88.85546875" style="97" customWidth="1"/>
    <col min="9475" max="9475" width="11.42578125" style="97" customWidth="1"/>
    <col min="9476" max="9477" width="0" style="97" hidden="1" customWidth="1"/>
    <col min="9478" max="9478" width="17.28515625" style="97" customWidth="1"/>
    <col min="9479" max="9479" width="0" style="97" hidden="1" customWidth="1"/>
    <col min="9480" max="9480" width="15.28515625" style="97" customWidth="1"/>
    <col min="9481" max="9481" width="15.7109375" style="97" customWidth="1"/>
    <col min="9482" max="9482" width="15.5703125" style="97" customWidth="1"/>
    <col min="9483" max="9483" width="9.140625" style="97"/>
    <col min="9484" max="9484" width="11.85546875" style="97" customWidth="1"/>
    <col min="9485" max="9485" width="14.85546875" style="97" customWidth="1"/>
    <col min="9486" max="9486" width="10.85546875" style="97" customWidth="1"/>
    <col min="9487" max="9728" width="9.140625" style="97"/>
    <col min="9729" max="9729" width="3.140625" style="97" customWidth="1"/>
    <col min="9730" max="9730" width="88.85546875" style="97" customWidth="1"/>
    <col min="9731" max="9731" width="11.42578125" style="97" customWidth="1"/>
    <col min="9732" max="9733" width="0" style="97" hidden="1" customWidth="1"/>
    <col min="9734" max="9734" width="17.28515625" style="97" customWidth="1"/>
    <col min="9735" max="9735" width="0" style="97" hidden="1" customWidth="1"/>
    <col min="9736" max="9736" width="15.28515625" style="97" customWidth="1"/>
    <col min="9737" max="9737" width="15.7109375" style="97" customWidth="1"/>
    <col min="9738" max="9738" width="15.5703125" style="97" customWidth="1"/>
    <col min="9739" max="9739" width="9.140625" style="97"/>
    <col min="9740" max="9740" width="11.85546875" style="97" customWidth="1"/>
    <col min="9741" max="9741" width="14.85546875" style="97" customWidth="1"/>
    <col min="9742" max="9742" width="10.85546875" style="97" customWidth="1"/>
    <col min="9743" max="9984" width="9.140625" style="97"/>
    <col min="9985" max="9985" width="3.140625" style="97" customWidth="1"/>
    <col min="9986" max="9986" width="88.85546875" style="97" customWidth="1"/>
    <col min="9987" max="9987" width="11.42578125" style="97" customWidth="1"/>
    <col min="9988" max="9989" width="0" style="97" hidden="1" customWidth="1"/>
    <col min="9990" max="9990" width="17.28515625" style="97" customWidth="1"/>
    <col min="9991" max="9991" width="0" style="97" hidden="1" customWidth="1"/>
    <col min="9992" max="9992" width="15.28515625" style="97" customWidth="1"/>
    <col min="9993" max="9993" width="15.7109375" style="97" customWidth="1"/>
    <col min="9994" max="9994" width="15.5703125" style="97" customWidth="1"/>
    <col min="9995" max="9995" width="9.140625" style="97"/>
    <col min="9996" max="9996" width="11.85546875" style="97" customWidth="1"/>
    <col min="9997" max="9997" width="14.85546875" style="97" customWidth="1"/>
    <col min="9998" max="9998" width="10.85546875" style="97" customWidth="1"/>
    <col min="9999" max="10240" width="9.140625" style="97"/>
    <col min="10241" max="10241" width="3.140625" style="97" customWidth="1"/>
    <col min="10242" max="10242" width="88.85546875" style="97" customWidth="1"/>
    <col min="10243" max="10243" width="11.42578125" style="97" customWidth="1"/>
    <col min="10244" max="10245" width="0" style="97" hidden="1" customWidth="1"/>
    <col min="10246" max="10246" width="17.28515625" style="97" customWidth="1"/>
    <col min="10247" max="10247" width="0" style="97" hidden="1" customWidth="1"/>
    <col min="10248" max="10248" width="15.28515625" style="97" customWidth="1"/>
    <col min="10249" max="10249" width="15.7109375" style="97" customWidth="1"/>
    <col min="10250" max="10250" width="15.5703125" style="97" customWidth="1"/>
    <col min="10251" max="10251" width="9.140625" style="97"/>
    <col min="10252" max="10252" width="11.85546875" style="97" customWidth="1"/>
    <col min="10253" max="10253" width="14.85546875" style="97" customWidth="1"/>
    <col min="10254" max="10254" width="10.85546875" style="97" customWidth="1"/>
    <col min="10255" max="10496" width="9.140625" style="97"/>
    <col min="10497" max="10497" width="3.140625" style="97" customWidth="1"/>
    <col min="10498" max="10498" width="88.85546875" style="97" customWidth="1"/>
    <col min="10499" max="10499" width="11.42578125" style="97" customWidth="1"/>
    <col min="10500" max="10501" width="0" style="97" hidden="1" customWidth="1"/>
    <col min="10502" max="10502" width="17.28515625" style="97" customWidth="1"/>
    <col min="10503" max="10503" width="0" style="97" hidden="1" customWidth="1"/>
    <col min="10504" max="10504" width="15.28515625" style="97" customWidth="1"/>
    <col min="10505" max="10505" width="15.7109375" style="97" customWidth="1"/>
    <col min="10506" max="10506" width="15.5703125" style="97" customWidth="1"/>
    <col min="10507" max="10507" width="9.140625" style="97"/>
    <col min="10508" max="10508" width="11.85546875" style="97" customWidth="1"/>
    <col min="10509" max="10509" width="14.85546875" style="97" customWidth="1"/>
    <col min="10510" max="10510" width="10.85546875" style="97" customWidth="1"/>
    <col min="10511" max="10752" width="9.140625" style="97"/>
    <col min="10753" max="10753" width="3.140625" style="97" customWidth="1"/>
    <col min="10754" max="10754" width="88.85546875" style="97" customWidth="1"/>
    <col min="10755" max="10755" width="11.42578125" style="97" customWidth="1"/>
    <col min="10756" max="10757" width="0" style="97" hidden="1" customWidth="1"/>
    <col min="10758" max="10758" width="17.28515625" style="97" customWidth="1"/>
    <col min="10759" max="10759" width="0" style="97" hidden="1" customWidth="1"/>
    <col min="10760" max="10760" width="15.28515625" style="97" customWidth="1"/>
    <col min="10761" max="10761" width="15.7109375" style="97" customWidth="1"/>
    <col min="10762" max="10762" width="15.5703125" style="97" customWidth="1"/>
    <col min="10763" max="10763" width="9.140625" style="97"/>
    <col min="10764" max="10764" width="11.85546875" style="97" customWidth="1"/>
    <col min="10765" max="10765" width="14.85546875" style="97" customWidth="1"/>
    <col min="10766" max="10766" width="10.85546875" style="97" customWidth="1"/>
    <col min="10767" max="11008" width="9.140625" style="97"/>
    <col min="11009" max="11009" width="3.140625" style="97" customWidth="1"/>
    <col min="11010" max="11010" width="88.85546875" style="97" customWidth="1"/>
    <col min="11011" max="11011" width="11.42578125" style="97" customWidth="1"/>
    <col min="11012" max="11013" width="0" style="97" hidden="1" customWidth="1"/>
    <col min="11014" max="11014" width="17.28515625" style="97" customWidth="1"/>
    <col min="11015" max="11015" width="0" style="97" hidden="1" customWidth="1"/>
    <col min="11016" max="11016" width="15.28515625" style="97" customWidth="1"/>
    <col min="11017" max="11017" width="15.7109375" style="97" customWidth="1"/>
    <col min="11018" max="11018" width="15.5703125" style="97" customWidth="1"/>
    <col min="11019" max="11019" width="9.140625" style="97"/>
    <col min="11020" max="11020" width="11.85546875" style="97" customWidth="1"/>
    <col min="11021" max="11021" width="14.85546875" style="97" customWidth="1"/>
    <col min="11022" max="11022" width="10.85546875" style="97" customWidth="1"/>
    <col min="11023" max="11264" width="9.140625" style="97"/>
    <col min="11265" max="11265" width="3.140625" style="97" customWidth="1"/>
    <col min="11266" max="11266" width="88.85546875" style="97" customWidth="1"/>
    <col min="11267" max="11267" width="11.42578125" style="97" customWidth="1"/>
    <col min="11268" max="11269" width="0" style="97" hidden="1" customWidth="1"/>
    <col min="11270" max="11270" width="17.28515625" style="97" customWidth="1"/>
    <col min="11271" max="11271" width="0" style="97" hidden="1" customWidth="1"/>
    <col min="11272" max="11272" width="15.28515625" style="97" customWidth="1"/>
    <col min="11273" max="11273" width="15.7109375" style="97" customWidth="1"/>
    <col min="11274" max="11274" width="15.5703125" style="97" customWidth="1"/>
    <col min="11275" max="11275" width="9.140625" style="97"/>
    <col min="11276" max="11276" width="11.85546875" style="97" customWidth="1"/>
    <col min="11277" max="11277" width="14.85546875" style="97" customWidth="1"/>
    <col min="11278" max="11278" width="10.85546875" style="97" customWidth="1"/>
    <col min="11279" max="11520" width="9.140625" style="97"/>
    <col min="11521" max="11521" width="3.140625" style="97" customWidth="1"/>
    <col min="11522" max="11522" width="88.85546875" style="97" customWidth="1"/>
    <col min="11523" max="11523" width="11.42578125" style="97" customWidth="1"/>
    <col min="11524" max="11525" width="0" style="97" hidden="1" customWidth="1"/>
    <col min="11526" max="11526" width="17.28515625" style="97" customWidth="1"/>
    <col min="11527" max="11527" width="0" style="97" hidden="1" customWidth="1"/>
    <col min="11528" max="11528" width="15.28515625" style="97" customWidth="1"/>
    <col min="11529" max="11529" width="15.7109375" style="97" customWidth="1"/>
    <col min="11530" max="11530" width="15.5703125" style="97" customWidth="1"/>
    <col min="11531" max="11531" width="9.140625" style="97"/>
    <col min="11532" max="11532" width="11.85546875" style="97" customWidth="1"/>
    <col min="11533" max="11533" width="14.85546875" style="97" customWidth="1"/>
    <col min="11534" max="11534" width="10.85546875" style="97" customWidth="1"/>
    <col min="11535" max="11776" width="9.140625" style="97"/>
    <col min="11777" max="11777" width="3.140625" style="97" customWidth="1"/>
    <col min="11778" max="11778" width="88.85546875" style="97" customWidth="1"/>
    <col min="11779" max="11779" width="11.42578125" style="97" customWidth="1"/>
    <col min="11780" max="11781" width="0" style="97" hidden="1" customWidth="1"/>
    <col min="11782" max="11782" width="17.28515625" style="97" customWidth="1"/>
    <col min="11783" max="11783" width="0" style="97" hidden="1" customWidth="1"/>
    <col min="11784" max="11784" width="15.28515625" style="97" customWidth="1"/>
    <col min="11785" max="11785" width="15.7109375" style="97" customWidth="1"/>
    <col min="11786" max="11786" width="15.5703125" style="97" customWidth="1"/>
    <col min="11787" max="11787" width="9.140625" style="97"/>
    <col min="11788" max="11788" width="11.85546875" style="97" customWidth="1"/>
    <col min="11789" max="11789" width="14.85546875" style="97" customWidth="1"/>
    <col min="11790" max="11790" width="10.85546875" style="97" customWidth="1"/>
    <col min="11791" max="12032" width="9.140625" style="97"/>
    <col min="12033" max="12033" width="3.140625" style="97" customWidth="1"/>
    <col min="12034" max="12034" width="88.85546875" style="97" customWidth="1"/>
    <col min="12035" max="12035" width="11.42578125" style="97" customWidth="1"/>
    <col min="12036" max="12037" width="0" style="97" hidden="1" customWidth="1"/>
    <col min="12038" max="12038" width="17.28515625" style="97" customWidth="1"/>
    <col min="12039" max="12039" width="0" style="97" hidden="1" customWidth="1"/>
    <col min="12040" max="12040" width="15.28515625" style="97" customWidth="1"/>
    <col min="12041" max="12041" width="15.7109375" style="97" customWidth="1"/>
    <col min="12042" max="12042" width="15.5703125" style="97" customWidth="1"/>
    <col min="12043" max="12043" width="9.140625" style="97"/>
    <col min="12044" max="12044" width="11.85546875" style="97" customWidth="1"/>
    <col min="12045" max="12045" width="14.85546875" style="97" customWidth="1"/>
    <col min="12046" max="12046" width="10.85546875" style="97" customWidth="1"/>
    <col min="12047" max="12288" width="9.140625" style="97"/>
    <col min="12289" max="12289" width="3.140625" style="97" customWidth="1"/>
    <col min="12290" max="12290" width="88.85546875" style="97" customWidth="1"/>
    <col min="12291" max="12291" width="11.42578125" style="97" customWidth="1"/>
    <col min="12292" max="12293" width="0" style="97" hidden="1" customWidth="1"/>
    <col min="12294" max="12294" width="17.28515625" style="97" customWidth="1"/>
    <col min="12295" max="12295" width="0" style="97" hidden="1" customWidth="1"/>
    <col min="12296" max="12296" width="15.28515625" style="97" customWidth="1"/>
    <col min="12297" max="12297" width="15.7109375" style="97" customWidth="1"/>
    <col min="12298" max="12298" width="15.5703125" style="97" customWidth="1"/>
    <col min="12299" max="12299" width="9.140625" style="97"/>
    <col min="12300" max="12300" width="11.85546875" style="97" customWidth="1"/>
    <col min="12301" max="12301" width="14.85546875" style="97" customWidth="1"/>
    <col min="12302" max="12302" width="10.85546875" style="97" customWidth="1"/>
    <col min="12303" max="12544" width="9.140625" style="97"/>
    <col min="12545" max="12545" width="3.140625" style="97" customWidth="1"/>
    <col min="12546" max="12546" width="88.85546875" style="97" customWidth="1"/>
    <col min="12547" max="12547" width="11.42578125" style="97" customWidth="1"/>
    <col min="12548" max="12549" width="0" style="97" hidden="1" customWidth="1"/>
    <col min="12550" max="12550" width="17.28515625" style="97" customWidth="1"/>
    <col min="12551" max="12551" width="0" style="97" hidden="1" customWidth="1"/>
    <col min="12552" max="12552" width="15.28515625" style="97" customWidth="1"/>
    <col min="12553" max="12553" width="15.7109375" style="97" customWidth="1"/>
    <col min="12554" max="12554" width="15.5703125" style="97" customWidth="1"/>
    <col min="12555" max="12555" width="9.140625" style="97"/>
    <col min="12556" max="12556" width="11.85546875" style="97" customWidth="1"/>
    <col min="12557" max="12557" width="14.85546875" style="97" customWidth="1"/>
    <col min="12558" max="12558" width="10.85546875" style="97" customWidth="1"/>
    <col min="12559" max="12800" width="9.140625" style="97"/>
    <col min="12801" max="12801" width="3.140625" style="97" customWidth="1"/>
    <col min="12802" max="12802" width="88.85546875" style="97" customWidth="1"/>
    <col min="12803" max="12803" width="11.42578125" style="97" customWidth="1"/>
    <col min="12804" max="12805" width="0" style="97" hidden="1" customWidth="1"/>
    <col min="12806" max="12806" width="17.28515625" style="97" customWidth="1"/>
    <col min="12807" max="12807" width="0" style="97" hidden="1" customWidth="1"/>
    <col min="12808" max="12808" width="15.28515625" style="97" customWidth="1"/>
    <col min="12809" max="12809" width="15.7109375" style="97" customWidth="1"/>
    <col min="12810" max="12810" width="15.5703125" style="97" customWidth="1"/>
    <col min="12811" max="12811" width="9.140625" style="97"/>
    <col min="12812" max="12812" width="11.85546875" style="97" customWidth="1"/>
    <col min="12813" max="12813" width="14.85546875" style="97" customWidth="1"/>
    <col min="12814" max="12814" width="10.85546875" style="97" customWidth="1"/>
    <col min="12815" max="13056" width="9.140625" style="97"/>
    <col min="13057" max="13057" width="3.140625" style="97" customWidth="1"/>
    <col min="13058" max="13058" width="88.85546875" style="97" customWidth="1"/>
    <col min="13059" max="13059" width="11.42578125" style="97" customWidth="1"/>
    <col min="13060" max="13061" width="0" style="97" hidden="1" customWidth="1"/>
    <col min="13062" max="13062" width="17.28515625" style="97" customWidth="1"/>
    <col min="13063" max="13063" width="0" style="97" hidden="1" customWidth="1"/>
    <col min="13064" max="13064" width="15.28515625" style="97" customWidth="1"/>
    <col min="13065" max="13065" width="15.7109375" style="97" customWidth="1"/>
    <col min="13066" max="13066" width="15.5703125" style="97" customWidth="1"/>
    <col min="13067" max="13067" width="9.140625" style="97"/>
    <col min="13068" max="13068" width="11.85546875" style="97" customWidth="1"/>
    <col min="13069" max="13069" width="14.85546875" style="97" customWidth="1"/>
    <col min="13070" max="13070" width="10.85546875" style="97" customWidth="1"/>
    <col min="13071" max="13312" width="9.140625" style="97"/>
    <col min="13313" max="13313" width="3.140625" style="97" customWidth="1"/>
    <col min="13314" max="13314" width="88.85546875" style="97" customWidth="1"/>
    <col min="13315" max="13315" width="11.42578125" style="97" customWidth="1"/>
    <col min="13316" max="13317" width="0" style="97" hidden="1" customWidth="1"/>
    <col min="13318" max="13318" width="17.28515625" style="97" customWidth="1"/>
    <col min="13319" max="13319" width="0" style="97" hidden="1" customWidth="1"/>
    <col min="13320" max="13320" width="15.28515625" style="97" customWidth="1"/>
    <col min="13321" max="13321" width="15.7109375" style="97" customWidth="1"/>
    <col min="13322" max="13322" width="15.5703125" style="97" customWidth="1"/>
    <col min="13323" max="13323" width="9.140625" style="97"/>
    <col min="13324" max="13324" width="11.85546875" style="97" customWidth="1"/>
    <col min="13325" max="13325" width="14.85546875" style="97" customWidth="1"/>
    <col min="13326" max="13326" width="10.85546875" style="97" customWidth="1"/>
    <col min="13327" max="13568" width="9.140625" style="97"/>
    <col min="13569" max="13569" width="3.140625" style="97" customWidth="1"/>
    <col min="13570" max="13570" width="88.85546875" style="97" customWidth="1"/>
    <col min="13571" max="13571" width="11.42578125" style="97" customWidth="1"/>
    <col min="13572" max="13573" width="0" style="97" hidden="1" customWidth="1"/>
    <col min="13574" max="13574" width="17.28515625" style="97" customWidth="1"/>
    <col min="13575" max="13575" width="0" style="97" hidden="1" customWidth="1"/>
    <col min="13576" max="13576" width="15.28515625" style="97" customWidth="1"/>
    <col min="13577" max="13577" width="15.7109375" style="97" customWidth="1"/>
    <col min="13578" max="13578" width="15.5703125" style="97" customWidth="1"/>
    <col min="13579" max="13579" width="9.140625" style="97"/>
    <col min="13580" max="13580" width="11.85546875" style="97" customWidth="1"/>
    <col min="13581" max="13581" width="14.85546875" style="97" customWidth="1"/>
    <col min="13582" max="13582" width="10.85546875" style="97" customWidth="1"/>
    <col min="13583" max="13824" width="9.140625" style="97"/>
    <col min="13825" max="13825" width="3.140625" style="97" customWidth="1"/>
    <col min="13826" max="13826" width="88.85546875" style="97" customWidth="1"/>
    <col min="13827" max="13827" width="11.42578125" style="97" customWidth="1"/>
    <col min="13828" max="13829" width="0" style="97" hidden="1" customWidth="1"/>
    <col min="13830" max="13830" width="17.28515625" style="97" customWidth="1"/>
    <col min="13831" max="13831" width="0" style="97" hidden="1" customWidth="1"/>
    <col min="13832" max="13832" width="15.28515625" style="97" customWidth="1"/>
    <col min="13833" max="13833" width="15.7109375" style="97" customWidth="1"/>
    <col min="13834" max="13834" width="15.5703125" style="97" customWidth="1"/>
    <col min="13835" max="13835" width="9.140625" style="97"/>
    <col min="13836" max="13836" width="11.85546875" style="97" customWidth="1"/>
    <col min="13837" max="13837" width="14.85546875" style="97" customWidth="1"/>
    <col min="13838" max="13838" width="10.85546875" style="97" customWidth="1"/>
    <col min="13839" max="14080" width="9.140625" style="97"/>
    <col min="14081" max="14081" width="3.140625" style="97" customWidth="1"/>
    <col min="14082" max="14082" width="88.85546875" style="97" customWidth="1"/>
    <col min="14083" max="14083" width="11.42578125" style="97" customWidth="1"/>
    <col min="14084" max="14085" width="0" style="97" hidden="1" customWidth="1"/>
    <col min="14086" max="14086" width="17.28515625" style="97" customWidth="1"/>
    <col min="14087" max="14087" width="0" style="97" hidden="1" customWidth="1"/>
    <col min="14088" max="14088" width="15.28515625" style="97" customWidth="1"/>
    <col min="14089" max="14089" width="15.7109375" style="97" customWidth="1"/>
    <col min="14090" max="14090" width="15.5703125" style="97" customWidth="1"/>
    <col min="14091" max="14091" width="9.140625" style="97"/>
    <col min="14092" max="14092" width="11.85546875" style="97" customWidth="1"/>
    <col min="14093" max="14093" width="14.85546875" style="97" customWidth="1"/>
    <col min="14094" max="14094" width="10.85546875" style="97" customWidth="1"/>
    <col min="14095" max="14336" width="9.140625" style="97"/>
    <col min="14337" max="14337" width="3.140625" style="97" customWidth="1"/>
    <col min="14338" max="14338" width="88.85546875" style="97" customWidth="1"/>
    <col min="14339" max="14339" width="11.42578125" style="97" customWidth="1"/>
    <col min="14340" max="14341" width="0" style="97" hidden="1" customWidth="1"/>
    <col min="14342" max="14342" width="17.28515625" style="97" customWidth="1"/>
    <col min="14343" max="14343" width="0" style="97" hidden="1" customWidth="1"/>
    <col min="14344" max="14344" width="15.28515625" style="97" customWidth="1"/>
    <col min="14345" max="14345" width="15.7109375" style="97" customWidth="1"/>
    <col min="14346" max="14346" width="15.5703125" style="97" customWidth="1"/>
    <col min="14347" max="14347" width="9.140625" style="97"/>
    <col min="14348" max="14348" width="11.85546875" style="97" customWidth="1"/>
    <col min="14349" max="14349" width="14.85546875" style="97" customWidth="1"/>
    <col min="14350" max="14350" width="10.85546875" style="97" customWidth="1"/>
    <col min="14351" max="14592" width="9.140625" style="97"/>
    <col min="14593" max="14593" width="3.140625" style="97" customWidth="1"/>
    <col min="14594" max="14594" width="88.85546875" style="97" customWidth="1"/>
    <col min="14595" max="14595" width="11.42578125" style="97" customWidth="1"/>
    <col min="14596" max="14597" width="0" style="97" hidden="1" customWidth="1"/>
    <col min="14598" max="14598" width="17.28515625" style="97" customWidth="1"/>
    <col min="14599" max="14599" width="0" style="97" hidden="1" customWidth="1"/>
    <col min="14600" max="14600" width="15.28515625" style="97" customWidth="1"/>
    <col min="14601" max="14601" width="15.7109375" style="97" customWidth="1"/>
    <col min="14602" max="14602" width="15.5703125" style="97" customWidth="1"/>
    <col min="14603" max="14603" width="9.140625" style="97"/>
    <col min="14604" max="14604" width="11.85546875" style="97" customWidth="1"/>
    <col min="14605" max="14605" width="14.85546875" style="97" customWidth="1"/>
    <col min="14606" max="14606" width="10.85546875" style="97" customWidth="1"/>
    <col min="14607" max="14848" width="9.140625" style="97"/>
    <col min="14849" max="14849" width="3.140625" style="97" customWidth="1"/>
    <col min="14850" max="14850" width="88.85546875" style="97" customWidth="1"/>
    <col min="14851" max="14851" width="11.42578125" style="97" customWidth="1"/>
    <col min="14852" max="14853" width="0" style="97" hidden="1" customWidth="1"/>
    <col min="14854" max="14854" width="17.28515625" style="97" customWidth="1"/>
    <col min="14855" max="14855" width="0" style="97" hidden="1" customWidth="1"/>
    <col min="14856" max="14856" width="15.28515625" style="97" customWidth="1"/>
    <col min="14857" max="14857" width="15.7109375" style="97" customWidth="1"/>
    <col min="14858" max="14858" width="15.5703125" style="97" customWidth="1"/>
    <col min="14859" max="14859" width="9.140625" style="97"/>
    <col min="14860" max="14860" width="11.85546875" style="97" customWidth="1"/>
    <col min="14861" max="14861" width="14.85546875" style="97" customWidth="1"/>
    <col min="14862" max="14862" width="10.85546875" style="97" customWidth="1"/>
    <col min="14863" max="15104" width="9.140625" style="97"/>
    <col min="15105" max="15105" width="3.140625" style="97" customWidth="1"/>
    <col min="15106" max="15106" width="88.85546875" style="97" customWidth="1"/>
    <col min="15107" max="15107" width="11.42578125" style="97" customWidth="1"/>
    <col min="15108" max="15109" width="0" style="97" hidden="1" customWidth="1"/>
    <col min="15110" max="15110" width="17.28515625" style="97" customWidth="1"/>
    <col min="15111" max="15111" width="0" style="97" hidden="1" customWidth="1"/>
    <col min="15112" max="15112" width="15.28515625" style="97" customWidth="1"/>
    <col min="15113" max="15113" width="15.7109375" style="97" customWidth="1"/>
    <col min="15114" max="15114" width="15.5703125" style="97" customWidth="1"/>
    <col min="15115" max="15115" width="9.140625" style="97"/>
    <col min="15116" max="15116" width="11.85546875" style="97" customWidth="1"/>
    <col min="15117" max="15117" width="14.85546875" style="97" customWidth="1"/>
    <col min="15118" max="15118" width="10.85546875" style="97" customWidth="1"/>
    <col min="15119" max="15360" width="9.140625" style="97"/>
    <col min="15361" max="15361" width="3.140625" style="97" customWidth="1"/>
    <col min="15362" max="15362" width="88.85546875" style="97" customWidth="1"/>
    <col min="15363" max="15363" width="11.42578125" style="97" customWidth="1"/>
    <col min="15364" max="15365" width="0" style="97" hidden="1" customWidth="1"/>
    <col min="15366" max="15366" width="17.28515625" style="97" customWidth="1"/>
    <col min="15367" max="15367" width="0" style="97" hidden="1" customWidth="1"/>
    <col min="15368" max="15368" width="15.28515625" style="97" customWidth="1"/>
    <col min="15369" max="15369" width="15.7109375" style="97" customWidth="1"/>
    <col min="15370" max="15370" width="15.5703125" style="97" customWidth="1"/>
    <col min="15371" max="15371" width="9.140625" style="97"/>
    <col min="15372" max="15372" width="11.85546875" style="97" customWidth="1"/>
    <col min="15373" max="15373" width="14.85546875" style="97" customWidth="1"/>
    <col min="15374" max="15374" width="10.85546875" style="97" customWidth="1"/>
    <col min="15375" max="15616" width="9.140625" style="97"/>
    <col min="15617" max="15617" width="3.140625" style="97" customWidth="1"/>
    <col min="15618" max="15618" width="88.85546875" style="97" customWidth="1"/>
    <col min="15619" max="15619" width="11.42578125" style="97" customWidth="1"/>
    <col min="15620" max="15621" width="0" style="97" hidden="1" customWidth="1"/>
    <col min="15622" max="15622" width="17.28515625" style="97" customWidth="1"/>
    <col min="15623" max="15623" width="0" style="97" hidden="1" customWidth="1"/>
    <col min="15624" max="15624" width="15.28515625" style="97" customWidth="1"/>
    <col min="15625" max="15625" width="15.7109375" style="97" customWidth="1"/>
    <col min="15626" max="15626" width="15.5703125" style="97" customWidth="1"/>
    <col min="15627" max="15627" width="9.140625" style="97"/>
    <col min="15628" max="15628" width="11.85546875" style="97" customWidth="1"/>
    <col min="15629" max="15629" width="14.85546875" style="97" customWidth="1"/>
    <col min="15630" max="15630" width="10.85546875" style="97" customWidth="1"/>
    <col min="15631" max="15872" width="9.140625" style="97"/>
    <col min="15873" max="15873" width="3.140625" style="97" customWidth="1"/>
    <col min="15874" max="15874" width="88.85546875" style="97" customWidth="1"/>
    <col min="15875" max="15875" width="11.42578125" style="97" customWidth="1"/>
    <col min="15876" max="15877" width="0" style="97" hidden="1" customWidth="1"/>
    <col min="15878" max="15878" width="17.28515625" style="97" customWidth="1"/>
    <col min="15879" max="15879" width="0" style="97" hidden="1" customWidth="1"/>
    <col min="15880" max="15880" width="15.28515625" style="97" customWidth="1"/>
    <col min="15881" max="15881" width="15.7109375" style="97" customWidth="1"/>
    <col min="15882" max="15882" width="15.5703125" style="97" customWidth="1"/>
    <col min="15883" max="15883" width="9.140625" style="97"/>
    <col min="15884" max="15884" width="11.85546875" style="97" customWidth="1"/>
    <col min="15885" max="15885" width="14.85546875" style="97" customWidth="1"/>
    <col min="15886" max="15886" width="10.85546875" style="97" customWidth="1"/>
    <col min="15887" max="16128" width="9.140625" style="97"/>
    <col min="16129" max="16129" width="3.140625" style="97" customWidth="1"/>
    <col min="16130" max="16130" width="88.85546875" style="97" customWidth="1"/>
    <col min="16131" max="16131" width="11.42578125" style="97" customWidth="1"/>
    <col min="16132" max="16133" width="0" style="97" hidden="1" customWidth="1"/>
    <col min="16134" max="16134" width="17.28515625" style="97" customWidth="1"/>
    <col min="16135" max="16135" width="0" style="97" hidden="1" customWidth="1"/>
    <col min="16136" max="16136" width="15.28515625" style="97" customWidth="1"/>
    <col min="16137" max="16137" width="15.7109375" style="97" customWidth="1"/>
    <col min="16138" max="16138" width="15.5703125" style="97" customWidth="1"/>
    <col min="16139" max="16139" width="9.140625" style="97"/>
    <col min="16140" max="16140" width="11.85546875" style="97" customWidth="1"/>
    <col min="16141" max="16141" width="14.85546875" style="97" customWidth="1"/>
    <col min="16142" max="16142" width="10.85546875" style="97" customWidth="1"/>
    <col min="16143" max="16384" width="9.140625" style="97"/>
  </cols>
  <sheetData>
    <row r="1" spans="1:10" ht="80.25" customHeight="1">
      <c r="B1" s="488" t="s">
        <v>303</v>
      </c>
    </row>
    <row r="2" spans="1:10" ht="35.25" customHeight="1">
      <c r="B2" s="740" t="s">
        <v>304</v>
      </c>
      <c r="C2" s="741"/>
      <c r="D2" s="741"/>
      <c r="E2" s="741"/>
      <c r="F2" s="741"/>
      <c r="G2" s="741"/>
      <c r="H2" s="741"/>
      <c r="I2" s="741"/>
      <c r="J2" s="741"/>
    </row>
    <row r="3" spans="1:10" ht="8.25" customHeight="1" thickBot="1">
      <c r="B3" s="489"/>
      <c r="C3" s="742"/>
      <c r="D3" s="743"/>
      <c r="E3" s="743"/>
      <c r="F3" s="743"/>
      <c r="G3" s="490"/>
      <c r="H3" s="490"/>
      <c r="I3" s="491"/>
      <c r="J3" s="489"/>
    </row>
    <row r="4" spans="1:10" ht="27" customHeight="1" thickBot="1">
      <c r="B4" s="744" t="s">
        <v>1</v>
      </c>
      <c r="C4" s="744" t="s">
        <v>109</v>
      </c>
      <c r="D4" s="492"/>
      <c r="E4" s="492"/>
      <c r="F4" s="746" t="s">
        <v>250</v>
      </c>
      <c r="G4" s="748"/>
      <c r="H4" s="748" t="s">
        <v>335</v>
      </c>
      <c r="I4" s="750" t="s">
        <v>305</v>
      </c>
      <c r="J4" s="751"/>
    </row>
    <row r="5" spans="1:10" ht="36" customHeight="1" thickBot="1">
      <c r="B5" s="745"/>
      <c r="C5" s="745"/>
      <c r="D5" s="493"/>
      <c r="E5" s="493"/>
      <c r="F5" s="747"/>
      <c r="G5" s="749"/>
      <c r="H5" s="749"/>
      <c r="I5" s="494" t="s">
        <v>306</v>
      </c>
      <c r="J5" s="495" t="s">
        <v>307</v>
      </c>
    </row>
    <row r="6" spans="1:10" ht="24.75" customHeight="1" thickBot="1">
      <c r="B6" s="750" t="s">
        <v>308</v>
      </c>
      <c r="C6" s="752"/>
      <c r="D6" s="752"/>
      <c r="E6" s="752"/>
      <c r="F6" s="752"/>
      <c r="G6" s="752"/>
      <c r="H6" s="752"/>
      <c r="I6" s="752"/>
      <c r="J6" s="751"/>
    </row>
    <row r="7" spans="1:10" ht="18" customHeight="1">
      <c r="A7" s="465"/>
      <c r="B7" s="496" t="s">
        <v>3</v>
      </c>
      <c r="C7" s="497" t="s">
        <v>111</v>
      </c>
      <c r="D7" s="498"/>
      <c r="E7" s="498"/>
      <c r="F7" s="499">
        <v>5</v>
      </c>
      <c r="G7" s="499"/>
      <c r="H7" s="499">
        <v>5</v>
      </c>
      <c r="I7" s="499">
        <v>5</v>
      </c>
      <c r="J7" s="500">
        <v>5</v>
      </c>
    </row>
    <row r="8" spans="1:10" s="113" customFormat="1" ht="17.25" customHeight="1">
      <c r="A8" s="466"/>
      <c r="B8" s="501" t="s">
        <v>112</v>
      </c>
      <c r="C8" s="502"/>
      <c r="D8" s="503"/>
      <c r="E8" s="503"/>
      <c r="F8" s="504"/>
      <c r="G8" s="504"/>
      <c r="H8" s="504"/>
      <c r="I8" s="504"/>
      <c r="J8" s="505"/>
    </row>
    <row r="9" spans="1:10" s="113" customFormat="1" ht="18" customHeight="1" thickBot="1">
      <c r="A9" s="467"/>
      <c r="B9" s="501" t="s">
        <v>113</v>
      </c>
      <c r="C9" s="506" t="s">
        <v>111</v>
      </c>
      <c r="D9" s="503"/>
      <c r="E9" s="503"/>
      <c r="F9" s="507">
        <v>5</v>
      </c>
      <c r="G9" s="504"/>
      <c r="H9" s="504">
        <v>5</v>
      </c>
      <c r="I9" s="504">
        <v>5</v>
      </c>
      <c r="J9" s="505">
        <v>5</v>
      </c>
    </row>
    <row r="10" spans="1:10" s="113" customFormat="1" ht="12.75" hidden="1" customHeight="1">
      <c r="B10" s="501" t="s">
        <v>114</v>
      </c>
      <c r="C10" s="506" t="s">
        <v>111</v>
      </c>
      <c r="D10" s="503"/>
      <c r="E10" s="503"/>
      <c r="F10" s="504"/>
      <c r="G10" s="504"/>
      <c r="H10" s="504"/>
      <c r="I10" s="504"/>
      <c r="J10" s="508"/>
    </row>
    <row r="11" spans="1:10" s="113" customFormat="1" ht="16.5" hidden="1" customHeight="1" thickBot="1">
      <c r="B11" s="509" t="s">
        <v>115</v>
      </c>
      <c r="C11" s="510" t="s">
        <v>111</v>
      </c>
      <c r="D11" s="511"/>
      <c r="E11" s="511"/>
      <c r="F11" s="512">
        <v>0</v>
      </c>
      <c r="G11" s="512"/>
      <c r="H11" s="513">
        <v>0</v>
      </c>
      <c r="I11" s="512">
        <v>0</v>
      </c>
      <c r="J11" s="514">
        <v>0</v>
      </c>
    </row>
    <row r="12" spans="1:10" s="134" customFormat="1" ht="20.25" customHeight="1">
      <c r="A12" s="467"/>
      <c r="B12" s="515" t="s">
        <v>116</v>
      </c>
      <c r="C12" s="516" t="s">
        <v>4</v>
      </c>
      <c r="D12" s="517"/>
      <c r="E12" s="517"/>
      <c r="F12" s="518">
        <f>F13+F19+F20</f>
        <v>8229.2999999999993</v>
      </c>
      <c r="G12" s="519"/>
      <c r="H12" s="518">
        <v>7615.66</v>
      </c>
      <c r="I12" s="520">
        <f>I13+I19+I20</f>
        <v>8265.7000000000007</v>
      </c>
      <c r="J12" s="521">
        <f>J13+J19+J20</f>
        <v>8265.7000000000007</v>
      </c>
    </row>
    <row r="13" spans="1:10" s="134" customFormat="1" ht="15.75" customHeight="1">
      <c r="A13" s="467"/>
      <c r="B13" s="522" t="s">
        <v>5</v>
      </c>
      <c r="C13" s="523" t="s">
        <v>4</v>
      </c>
      <c r="D13" s="524"/>
      <c r="E13" s="524"/>
      <c r="F13" s="525">
        <f>F14+F15+F16</f>
        <v>6328.8</v>
      </c>
      <c r="G13" s="526"/>
      <c r="H13" s="525">
        <v>5746.02</v>
      </c>
      <c r="I13" s="527">
        <f>SUM(I14:I17)</f>
        <v>6328.8</v>
      </c>
      <c r="J13" s="528">
        <f>SUM(J14:J17)</f>
        <v>6328.8</v>
      </c>
    </row>
    <row r="14" spans="1:10" s="134" customFormat="1" ht="16.5" customHeight="1">
      <c r="A14" s="467"/>
      <c r="B14" s="522" t="s">
        <v>253</v>
      </c>
      <c r="C14" s="523" t="s">
        <v>4</v>
      </c>
      <c r="D14" s="529"/>
      <c r="E14" s="524"/>
      <c r="F14" s="530">
        <v>5685.7</v>
      </c>
      <c r="G14" s="531"/>
      <c r="H14" s="507">
        <v>5685.7</v>
      </c>
      <c r="I14" s="530">
        <v>5685.7</v>
      </c>
      <c r="J14" s="532">
        <v>5685.7</v>
      </c>
    </row>
    <row r="15" spans="1:10" s="134" customFormat="1" ht="15" customHeight="1">
      <c r="A15" s="467"/>
      <c r="B15" s="522" t="s">
        <v>252</v>
      </c>
      <c r="C15" s="523" t="s">
        <v>4</v>
      </c>
      <c r="D15" s="529"/>
      <c r="E15" s="524"/>
      <c r="F15" s="530">
        <v>410.3</v>
      </c>
      <c r="G15" s="531"/>
      <c r="H15" s="507">
        <v>410.3</v>
      </c>
      <c r="I15" s="530">
        <v>410.3</v>
      </c>
      <c r="J15" s="532">
        <v>410.3</v>
      </c>
    </row>
    <row r="16" spans="1:10" s="134" customFormat="1" ht="17.25" customHeight="1">
      <c r="A16" s="467"/>
      <c r="B16" s="522" t="s">
        <v>254</v>
      </c>
      <c r="C16" s="523" t="s">
        <v>4</v>
      </c>
      <c r="D16" s="533"/>
      <c r="E16" s="524"/>
      <c r="F16" s="530">
        <v>232.8</v>
      </c>
      <c r="G16" s="531"/>
      <c r="H16" s="507">
        <v>232.8</v>
      </c>
      <c r="I16" s="530">
        <v>232.8</v>
      </c>
      <c r="J16" s="532">
        <v>232.8</v>
      </c>
    </row>
    <row r="17" spans="1:10" s="134" customFormat="1" ht="16.5" customHeight="1">
      <c r="A17" s="467"/>
      <c r="B17" s="534" t="s">
        <v>119</v>
      </c>
      <c r="C17" s="523" t="s">
        <v>4</v>
      </c>
      <c r="D17" s="535"/>
      <c r="E17" s="524"/>
      <c r="F17" s="530">
        <v>0</v>
      </c>
      <c r="G17" s="531"/>
      <c r="H17" s="507">
        <v>0</v>
      </c>
      <c r="I17" s="530">
        <v>0</v>
      </c>
      <c r="J17" s="532">
        <f>I17</f>
        <v>0</v>
      </c>
    </row>
    <row r="18" spans="1:10" s="134" customFormat="1" ht="17.25" customHeight="1">
      <c r="A18" s="467"/>
      <c r="B18" s="534" t="s">
        <v>120</v>
      </c>
      <c r="C18" s="523" t="s">
        <v>4</v>
      </c>
      <c r="D18" s="524"/>
      <c r="E18" s="524"/>
      <c r="F18" s="525">
        <f>F13-F17</f>
        <v>6328.8</v>
      </c>
      <c r="G18" s="526"/>
      <c r="H18" s="525">
        <v>5746.02</v>
      </c>
      <c r="I18" s="527">
        <f>I14+I15+I16</f>
        <v>6328.8</v>
      </c>
      <c r="J18" s="528">
        <f>J14+J15+J16</f>
        <v>6328.8</v>
      </c>
    </row>
    <row r="19" spans="1:10" s="134" customFormat="1" ht="17.25" customHeight="1">
      <c r="A19" s="467"/>
      <c r="B19" s="534" t="s">
        <v>121</v>
      </c>
      <c r="C19" s="523" t="s">
        <v>4</v>
      </c>
      <c r="D19" s="533"/>
      <c r="E19" s="524"/>
      <c r="F19" s="530">
        <v>230.5</v>
      </c>
      <c r="G19" s="531"/>
      <c r="H19" s="507">
        <v>230.48</v>
      </c>
      <c r="I19" s="530">
        <v>297.74</v>
      </c>
      <c r="J19" s="532">
        <f>I19</f>
        <v>297.74</v>
      </c>
    </row>
    <row r="20" spans="1:10" s="134" customFormat="1" ht="16.5" customHeight="1">
      <c r="A20" s="467"/>
      <c r="B20" s="534" t="s">
        <v>122</v>
      </c>
      <c r="C20" s="523" t="s">
        <v>4</v>
      </c>
      <c r="D20" s="533"/>
      <c r="E20" s="524"/>
      <c r="F20" s="530">
        <v>1670</v>
      </c>
      <c r="G20" s="531"/>
      <c r="H20" s="507">
        <v>1639.16</v>
      </c>
      <c r="I20" s="530">
        <v>1639.16</v>
      </c>
      <c r="J20" s="532">
        <f>I20</f>
        <v>1639.16</v>
      </c>
    </row>
    <row r="21" spans="1:10" s="134" customFormat="1" ht="20.25" customHeight="1" thickBot="1">
      <c r="B21" s="536" t="s">
        <v>309</v>
      </c>
      <c r="C21" s="537" t="s">
        <v>4</v>
      </c>
      <c r="D21" s="538">
        <v>0</v>
      </c>
      <c r="E21" s="539">
        <v>0</v>
      </c>
      <c r="F21" s="539">
        <v>0</v>
      </c>
      <c r="G21" s="539"/>
      <c r="H21" s="540">
        <v>0</v>
      </c>
      <c r="I21" s="539">
        <v>0</v>
      </c>
      <c r="J21" s="541">
        <v>0</v>
      </c>
    </row>
    <row r="22" spans="1:10" s="134" customFormat="1" ht="11.25" hidden="1" customHeight="1" thickBot="1">
      <c r="B22" s="753" t="s">
        <v>251</v>
      </c>
      <c r="C22" s="754"/>
      <c r="D22" s="754"/>
      <c r="E22" s="754"/>
      <c r="F22" s="754"/>
      <c r="G22" s="754"/>
      <c r="H22" s="754"/>
      <c r="I22" s="754"/>
      <c r="J22" s="755"/>
    </row>
    <row r="23" spans="1:10" s="134" customFormat="1" ht="13.5" hidden="1" thickBot="1">
      <c r="B23" s="542" t="s">
        <v>255</v>
      </c>
      <c r="C23" s="543"/>
      <c r="D23" s="544"/>
      <c r="E23" s="517"/>
      <c r="F23" s="545"/>
      <c r="G23" s="545"/>
      <c r="H23" s="545"/>
      <c r="I23" s="517"/>
      <c r="J23" s="546"/>
    </row>
    <row r="24" spans="1:10" s="134" customFormat="1" ht="13.5" hidden="1" thickBot="1">
      <c r="B24" s="547" t="s">
        <v>256</v>
      </c>
      <c r="C24" s="548" t="s">
        <v>4</v>
      </c>
      <c r="D24" s="535">
        <v>0</v>
      </c>
      <c r="E24" s="524">
        <v>0</v>
      </c>
      <c r="F24" s="549">
        <v>0</v>
      </c>
      <c r="G24" s="549"/>
      <c r="H24" s="549"/>
      <c r="I24" s="524">
        <v>0</v>
      </c>
      <c r="J24" s="550">
        <v>0</v>
      </c>
    </row>
    <row r="25" spans="1:10" s="134" customFormat="1" ht="13.5" hidden="1" thickBot="1">
      <c r="B25" s="547" t="s">
        <v>257</v>
      </c>
      <c r="C25" s="548" t="s">
        <v>258</v>
      </c>
      <c r="D25" s="551" t="e">
        <f>D26/D24*1000</f>
        <v>#DIV/0!</v>
      </c>
      <c r="E25" s="552" t="s">
        <v>208</v>
      </c>
      <c r="F25" s="551" t="e">
        <f>F26/F24*1000</f>
        <v>#DIV/0!</v>
      </c>
      <c r="G25" s="551"/>
      <c r="H25" s="551"/>
      <c r="I25" s="551">
        <v>0</v>
      </c>
      <c r="J25" s="550">
        <v>0</v>
      </c>
    </row>
    <row r="26" spans="1:10" s="134" customFormat="1" ht="115.5" hidden="1" thickBot="1">
      <c r="B26" s="553" t="s">
        <v>259</v>
      </c>
      <c r="C26" s="554" t="s">
        <v>123</v>
      </c>
      <c r="D26" s="538">
        <v>0</v>
      </c>
      <c r="E26" s="538" t="s">
        <v>208</v>
      </c>
      <c r="F26" s="538">
        <v>0</v>
      </c>
      <c r="G26" s="538"/>
      <c r="H26" s="538"/>
      <c r="I26" s="538">
        <v>0</v>
      </c>
      <c r="J26" s="555">
        <f>J25*J24/1000</f>
        <v>0</v>
      </c>
    </row>
    <row r="27" spans="1:10" s="290" customFormat="1" ht="27.75" customHeight="1" thickBot="1">
      <c r="A27" s="468"/>
      <c r="B27" s="750" t="s">
        <v>310</v>
      </c>
      <c r="C27" s="752"/>
      <c r="D27" s="752"/>
      <c r="E27" s="752"/>
      <c r="F27" s="752"/>
      <c r="G27" s="752"/>
      <c r="H27" s="752"/>
      <c r="I27" s="752"/>
      <c r="J27" s="751"/>
    </row>
    <row r="28" spans="1:10" s="134" customFormat="1" ht="18" customHeight="1">
      <c r="A28" s="465"/>
      <c r="B28" s="515" t="s">
        <v>125</v>
      </c>
      <c r="C28" s="516" t="s">
        <v>126</v>
      </c>
      <c r="D28" s="556"/>
      <c r="E28" s="557"/>
      <c r="F28" s="558">
        <v>227.52</v>
      </c>
      <c r="G28" s="559"/>
      <c r="H28" s="558">
        <v>227.52</v>
      </c>
      <c r="I28" s="559">
        <f>I29</f>
        <v>227.87</v>
      </c>
      <c r="J28" s="560">
        <f>J29</f>
        <v>227.87</v>
      </c>
    </row>
    <row r="29" spans="1:10" s="134" customFormat="1" ht="15.75" customHeight="1">
      <c r="A29" s="465"/>
      <c r="B29" s="561" t="s">
        <v>127</v>
      </c>
      <c r="C29" s="523" t="s">
        <v>126</v>
      </c>
      <c r="D29" s="535"/>
      <c r="E29" s="562"/>
      <c r="F29" s="507">
        <v>227.52</v>
      </c>
      <c r="G29" s="563"/>
      <c r="H29" s="563">
        <v>227.52</v>
      </c>
      <c r="I29" s="563">
        <v>227.87</v>
      </c>
      <c r="J29" s="564">
        <f>I29</f>
        <v>227.87</v>
      </c>
    </row>
    <row r="30" spans="1:10" s="134" customFormat="1" hidden="1">
      <c r="B30" s="561" t="s">
        <v>128</v>
      </c>
      <c r="C30" s="523" t="s">
        <v>126</v>
      </c>
      <c r="D30" s="535"/>
      <c r="E30" s="562"/>
      <c r="F30" s="507"/>
      <c r="G30" s="563"/>
      <c r="H30" s="563"/>
      <c r="I30" s="563"/>
      <c r="J30" s="564"/>
    </row>
    <row r="31" spans="1:10" s="134" customFormat="1" hidden="1">
      <c r="B31" s="561" t="s">
        <v>129</v>
      </c>
      <c r="C31" s="523" t="s">
        <v>126</v>
      </c>
      <c r="D31" s="535"/>
      <c r="E31" s="562"/>
      <c r="F31" s="507"/>
      <c r="G31" s="563"/>
      <c r="H31" s="563"/>
      <c r="I31" s="563"/>
      <c r="J31" s="564"/>
    </row>
    <row r="32" spans="1:10" s="134" customFormat="1" hidden="1">
      <c r="B32" s="561" t="s">
        <v>130</v>
      </c>
      <c r="C32" s="523" t="s">
        <v>126</v>
      </c>
      <c r="D32" s="535"/>
      <c r="E32" s="562"/>
      <c r="F32" s="507"/>
      <c r="G32" s="563"/>
      <c r="H32" s="563"/>
      <c r="I32" s="563"/>
      <c r="J32" s="564"/>
    </row>
    <row r="33" spans="1:10" s="134" customFormat="1" hidden="1">
      <c r="B33" s="565" t="s">
        <v>131</v>
      </c>
      <c r="C33" s="523" t="s">
        <v>126</v>
      </c>
      <c r="D33" s="535"/>
      <c r="E33" s="562"/>
      <c r="F33" s="507"/>
      <c r="G33" s="563"/>
      <c r="H33" s="563"/>
      <c r="I33" s="563"/>
      <c r="J33" s="564"/>
    </row>
    <row r="34" spans="1:10" s="134" customFormat="1" hidden="1">
      <c r="B34" s="565" t="s">
        <v>132</v>
      </c>
      <c r="C34" s="523" t="s">
        <v>126</v>
      </c>
      <c r="D34" s="535"/>
      <c r="E34" s="562"/>
      <c r="F34" s="507"/>
      <c r="G34" s="563"/>
      <c r="H34" s="563"/>
      <c r="I34" s="563"/>
      <c r="J34" s="564"/>
    </row>
    <row r="35" spans="1:10" s="134" customFormat="1" ht="15.75" customHeight="1">
      <c r="A35" s="465"/>
      <c r="B35" s="566" t="s">
        <v>133</v>
      </c>
      <c r="C35" s="523"/>
      <c r="D35" s="567"/>
      <c r="E35" s="568"/>
      <c r="F35" s="569">
        <v>0.8</v>
      </c>
      <c r="G35" s="570"/>
      <c r="H35" s="571">
        <v>0.8</v>
      </c>
      <c r="I35" s="571">
        <f>(I36*I50+I38*I52)/I49</f>
        <v>0.8</v>
      </c>
      <c r="J35" s="572">
        <f>(J36*J50+J38*J52)/J49</f>
        <v>0.8</v>
      </c>
    </row>
    <row r="36" spans="1:10" s="134" customFormat="1" ht="15.75" customHeight="1">
      <c r="A36" s="465"/>
      <c r="B36" s="561" t="s">
        <v>127</v>
      </c>
      <c r="C36" s="523"/>
      <c r="D36" s="567"/>
      <c r="E36" s="573"/>
      <c r="F36" s="574">
        <v>0.8</v>
      </c>
      <c r="G36" s="563"/>
      <c r="H36" s="574">
        <v>0.8</v>
      </c>
      <c r="I36" s="574">
        <v>0.8</v>
      </c>
      <c r="J36" s="575">
        <f>I36</f>
        <v>0.8</v>
      </c>
    </row>
    <row r="37" spans="1:10" s="134" customFormat="1" hidden="1">
      <c r="B37" s="561" t="s">
        <v>128</v>
      </c>
      <c r="C37" s="523"/>
      <c r="D37" s="535"/>
      <c r="E37" s="562"/>
      <c r="F37" s="507"/>
      <c r="G37" s="563"/>
      <c r="H37" s="563"/>
      <c r="I37" s="563"/>
      <c r="J37" s="564"/>
    </row>
    <row r="38" spans="1:10" s="134" customFormat="1" hidden="1">
      <c r="B38" s="561" t="s">
        <v>129</v>
      </c>
      <c r="C38" s="523"/>
      <c r="D38" s="567"/>
      <c r="E38" s="573"/>
      <c r="F38" s="507"/>
      <c r="G38" s="563"/>
      <c r="H38" s="563"/>
      <c r="I38" s="563"/>
      <c r="J38" s="564"/>
    </row>
    <row r="39" spans="1:10" s="134" customFormat="1" hidden="1">
      <c r="B39" s="561" t="s">
        <v>130</v>
      </c>
      <c r="C39" s="523"/>
      <c r="D39" s="535"/>
      <c r="E39" s="562"/>
      <c r="F39" s="507"/>
      <c r="G39" s="563"/>
      <c r="H39" s="563"/>
      <c r="I39" s="563"/>
      <c r="J39" s="564"/>
    </row>
    <row r="40" spans="1:10" s="134" customFormat="1" hidden="1">
      <c r="B40" s="565" t="s">
        <v>131</v>
      </c>
      <c r="C40" s="523"/>
      <c r="D40" s="535"/>
      <c r="E40" s="562"/>
      <c r="F40" s="507"/>
      <c r="G40" s="563"/>
      <c r="H40" s="563"/>
      <c r="I40" s="563"/>
      <c r="J40" s="564"/>
    </row>
    <row r="41" spans="1:10" s="134" customFormat="1" hidden="1">
      <c r="B41" s="565" t="s">
        <v>132</v>
      </c>
      <c r="C41" s="523"/>
      <c r="D41" s="535"/>
      <c r="E41" s="562"/>
      <c r="F41" s="507"/>
      <c r="G41" s="563"/>
      <c r="H41" s="563"/>
      <c r="I41" s="563"/>
      <c r="J41" s="564"/>
    </row>
    <row r="42" spans="1:10" s="134" customFormat="1" ht="17.25" customHeight="1">
      <c r="A42" s="465"/>
      <c r="B42" s="522" t="s">
        <v>134</v>
      </c>
      <c r="C42" s="523" t="s">
        <v>135</v>
      </c>
      <c r="D42" s="576"/>
      <c r="E42" s="577"/>
      <c r="F42" s="507">
        <v>284.39999999999998</v>
      </c>
      <c r="G42" s="570"/>
      <c r="H42" s="570">
        <v>284.39999999999998</v>
      </c>
      <c r="I42" s="563">
        <f>I28/I35</f>
        <v>284.83749999999998</v>
      </c>
      <c r="J42" s="564">
        <f>J28/J35</f>
        <v>284.83749999999998</v>
      </c>
    </row>
    <row r="43" spans="1:10" s="134" customFormat="1" ht="17.25" customHeight="1">
      <c r="A43" s="465"/>
      <c r="B43" s="565" t="s">
        <v>136</v>
      </c>
      <c r="C43" s="523" t="s">
        <v>135</v>
      </c>
      <c r="D43" s="576"/>
      <c r="E43" s="576"/>
      <c r="F43" s="507">
        <v>284.39999999999998</v>
      </c>
      <c r="G43" s="563"/>
      <c r="H43" s="563">
        <v>284.39999999999998</v>
      </c>
      <c r="I43" s="563">
        <f>I29/I36</f>
        <v>284.83749999999998</v>
      </c>
      <c r="J43" s="564">
        <f>J29/J36</f>
        <v>284.83749999999998</v>
      </c>
    </row>
    <row r="44" spans="1:10" s="134" customFormat="1" hidden="1">
      <c r="B44" s="565" t="s">
        <v>137</v>
      </c>
      <c r="C44" s="523" t="s">
        <v>135</v>
      </c>
      <c r="D44" s="535"/>
      <c r="E44" s="562"/>
      <c r="F44" s="507"/>
      <c r="G44" s="563"/>
      <c r="H44" s="563"/>
      <c r="I44" s="563"/>
      <c r="J44" s="564"/>
    </row>
    <row r="45" spans="1:10" s="134" customFormat="1" hidden="1">
      <c r="B45" s="565" t="s">
        <v>129</v>
      </c>
      <c r="C45" s="523" t="s">
        <v>135</v>
      </c>
      <c r="D45" s="535"/>
      <c r="E45" s="562"/>
      <c r="F45" s="507"/>
      <c r="G45" s="563"/>
      <c r="H45" s="563" t="e">
        <v>#DIV/0!</v>
      </c>
      <c r="I45" s="563"/>
      <c r="J45" s="564" t="e">
        <f>J31/J38</f>
        <v>#DIV/0!</v>
      </c>
    </row>
    <row r="46" spans="1:10" s="134" customFormat="1" hidden="1">
      <c r="B46" s="565" t="s">
        <v>130</v>
      </c>
      <c r="C46" s="523" t="s">
        <v>138</v>
      </c>
      <c r="D46" s="535"/>
      <c r="E46" s="562"/>
      <c r="F46" s="507"/>
      <c r="G46" s="563"/>
      <c r="H46" s="563"/>
      <c r="I46" s="563"/>
      <c r="J46" s="564"/>
    </row>
    <row r="47" spans="1:10" s="134" customFormat="1" hidden="1">
      <c r="B47" s="565" t="s">
        <v>131</v>
      </c>
      <c r="C47" s="523" t="s">
        <v>138</v>
      </c>
      <c r="D47" s="535"/>
      <c r="E47" s="562"/>
      <c r="F47" s="507"/>
      <c r="G47" s="563"/>
      <c r="H47" s="563"/>
      <c r="I47" s="563"/>
      <c r="J47" s="564"/>
    </row>
    <row r="48" spans="1:10" s="134" customFormat="1" hidden="1">
      <c r="B48" s="565" t="s">
        <v>132</v>
      </c>
      <c r="C48" s="523" t="s">
        <v>138</v>
      </c>
      <c r="D48" s="535"/>
      <c r="E48" s="562"/>
      <c r="F48" s="507"/>
      <c r="G48" s="563"/>
      <c r="H48" s="563"/>
      <c r="I48" s="563"/>
      <c r="J48" s="564"/>
    </row>
    <row r="49" spans="1:11" s="134" customFormat="1" ht="18.75" customHeight="1">
      <c r="A49" s="465"/>
      <c r="B49" s="522" t="s">
        <v>139</v>
      </c>
      <c r="C49" s="523" t="s">
        <v>140</v>
      </c>
      <c r="D49" s="576"/>
      <c r="E49" s="577"/>
      <c r="F49" s="507">
        <f>F50</f>
        <v>2338.1999999999998</v>
      </c>
      <c r="G49" s="570"/>
      <c r="H49" s="570">
        <v>2100.3451919999998</v>
      </c>
      <c r="I49" s="563">
        <f>I50+I52</f>
        <v>2269.5738065</v>
      </c>
      <c r="J49" s="564">
        <f>J50+J52</f>
        <v>2269.5738065</v>
      </c>
    </row>
    <row r="50" spans="1:11" s="134" customFormat="1" ht="18" customHeight="1">
      <c r="A50" s="465"/>
      <c r="B50" s="565" t="s">
        <v>136</v>
      </c>
      <c r="C50" s="523" t="s">
        <v>140</v>
      </c>
      <c r="D50" s="576"/>
      <c r="E50" s="562"/>
      <c r="F50" s="507">
        <v>2338.1999999999998</v>
      </c>
      <c r="G50" s="507"/>
      <c r="H50" s="507">
        <v>2100.3451919999998</v>
      </c>
      <c r="I50" s="507">
        <f>I43*(I12-I19)/1000</f>
        <v>2269.5738065</v>
      </c>
      <c r="J50" s="564">
        <f>J43*(J12-J19)/1000</f>
        <v>2269.5738065</v>
      </c>
    </row>
    <row r="51" spans="1:11" s="134" customFormat="1" hidden="1">
      <c r="B51" s="565" t="s">
        <v>137</v>
      </c>
      <c r="C51" s="523" t="s">
        <v>141</v>
      </c>
      <c r="D51" s="535"/>
      <c r="E51" s="562"/>
      <c r="F51" s="507"/>
      <c r="G51" s="563"/>
      <c r="H51" s="563"/>
      <c r="I51" s="563"/>
      <c r="J51" s="564"/>
    </row>
    <row r="52" spans="1:11" s="134" customFormat="1" hidden="1">
      <c r="B52" s="565" t="s">
        <v>129</v>
      </c>
      <c r="C52" s="523" t="s">
        <v>140</v>
      </c>
      <c r="D52" s="535"/>
      <c r="E52" s="562"/>
      <c r="F52" s="507"/>
      <c r="G52" s="563"/>
      <c r="H52" s="563"/>
      <c r="I52" s="563"/>
      <c r="J52" s="564"/>
    </row>
    <row r="53" spans="1:11" s="134" customFormat="1" hidden="1">
      <c r="B53" s="565" t="s">
        <v>130</v>
      </c>
      <c r="C53" s="523" t="s">
        <v>142</v>
      </c>
      <c r="D53" s="535"/>
      <c r="E53" s="562"/>
      <c r="F53" s="507"/>
      <c r="G53" s="563"/>
      <c r="H53" s="563"/>
      <c r="I53" s="563"/>
      <c r="J53" s="564"/>
    </row>
    <row r="54" spans="1:11" s="134" customFormat="1" hidden="1">
      <c r="B54" s="565" t="s">
        <v>131</v>
      </c>
      <c r="C54" s="523" t="s">
        <v>142</v>
      </c>
      <c r="D54" s="535"/>
      <c r="E54" s="562"/>
      <c r="F54" s="507"/>
      <c r="G54" s="563"/>
      <c r="H54" s="563"/>
      <c r="I54" s="563"/>
      <c r="J54" s="564"/>
    </row>
    <row r="55" spans="1:11" s="134" customFormat="1" hidden="1">
      <c r="B55" s="565" t="s">
        <v>132</v>
      </c>
      <c r="C55" s="523" t="s">
        <v>142</v>
      </c>
      <c r="D55" s="535"/>
      <c r="E55" s="562"/>
      <c r="F55" s="507"/>
      <c r="G55" s="563"/>
      <c r="H55" s="563"/>
      <c r="I55" s="563"/>
      <c r="J55" s="564"/>
    </row>
    <row r="56" spans="1:11" s="134" customFormat="1" ht="18.75" customHeight="1">
      <c r="A56" s="465"/>
      <c r="B56" s="522" t="s">
        <v>260</v>
      </c>
      <c r="C56" s="523" t="s">
        <v>144</v>
      </c>
      <c r="D56" s="535"/>
      <c r="E56" s="562"/>
      <c r="F56" s="507">
        <v>0</v>
      </c>
      <c r="G56" s="563"/>
      <c r="H56" s="563">
        <v>1.24</v>
      </c>
      <c r="I56" s="563">
        <f>I57+I59+I58</f>
        <v>1.24</v>
      </c>
      <c r="J56" s="564">
        <f>J57+J59+J58</f>
        <v>1.24</v>
      </c>
    </row>
    <row r="57" spans="1:11" s="134" customFormat="1" ht="18.75" customHeight="1">
      <c r="A57" s="465"/>
      <c r="B57" s="578" t="s">
        <v>311</v>
      </c>
      <c r="C57" s="523" t="s">
        <v>144</v>
      </c>
      <c r="D57" s="535"/>
      <c r="E57" s="562"/>
      <c r="F57" s="507">
        <v>0</v>
      </c>
      <c r="G57" s="563"/>
      <c r="H57" s="563">
        <v>0</v>
      </c>
      <c r="I57" s="563">
        <f>H57</f>
        <v>0</v>
      </c>
      <c r="J57" s="564">
        <f>I57</f>
        <v>0</v>
      </c>
    </row>
    <row r="58" spans="1:11" s="134" customFormat="1" ht="17.25" customHeight="1">
      <c r="A58" s="465"/>
      <c r="B58" s="565" t="s">
        <v>261</v>
      </c>
      <c r="C58" s="523" t="s">
        <v>144</v>
      </c>
      <c r="D58" s="535"/>
      <c r="E58" s="562"/>
      <c r="F58" s="563">
        <v>0</v>
      </c>
      <c r="G58" s="563"/>
      <c r="H58" s="563">
        <v>1</v>
      </c>
      <c r="I58" s="563">
        <v>1</v>
      </c>
      <c r="J58" s="564">
        <f>I58</f>
        <v>1</v>
      </c>
    </row>
    <row r="59" spans="1:11" s="134" customFormat="1" ht="21" customHeight="1">
      <c r="A59" s="465"/>
      <c r="B59" s="578" t="s">
        <v>262</v>
      </c>
      <c r="C59" s="523" t="s">
        <v>144</v>
      </c>
      <c r="D59" s="535"/>
      <c r="E59" s="562"/>
      <c r="F59" s="563">
        <v>0</v>
      </c>
      <c r="G59" s="563"/>
      <c r="H59" s="563">
        <v>0.24</v>
      </c>
      <c r="I59" s="563">
        <v>0.24</v>
      </c>
      <c r="J59" s="564">
        <f>I59</f>
        <v>0.24</v>
      </c>
    </row>
    <row r="60" spans="1:11" s="134" customFormat="1" ht="14.25" hidden="1" customHeight="1">
      <c r="B60" s="522" t="s">
        <v>312</v>
      </c>
      <c r="C60" s="523"/>
      <c r="D60" s="579"/>
      <c r="E60" s="580"/>
      <c r="F60" s="507"/>
      <c r="G60" s="563"/>
      <c r="H60" s="563"/>
      <c r="I60" s="563"/>
      <c r="J60" s="564"/>
    </row>
    <row r="61" spans="1:11" s="134" customFormat="1" ht="18" customHeight="1">
      <c r="A61" s="465"/>
      <c r="B61" s="522" t="s">
        <v>313</v>
      </c>
      <c r="C61" s="523" t="s">
        <v>140</v>
      </c>
      <c r="D61" s="549"/>
      <c r="E61" s="577"/>
      <c r="F61" s="507">
        <f>F62</f>
        <v>2338.1999999999998</v>
      </c>
      <c r="G61" s="570"/>
      <c r="H61" s="570">
        <v>2126.3894723807998</v>
      </c>
      <c r="I61" s="563">
        <f>I62+I65</f>
        <v>2297.7165217006</v>
      </c>
      <c r="J61" s="564">
        <f>J62+J65</f>
        <v>2297.7165217006</v>
      </c>
      <c r="K61" s="134">
        <f>J61*0.15/0.8*140/1000</f>
        <v>60.31505869464074</v>
      </c>
    </row>
    <row r="62" spans="1:11" s="134" customFormat="1" ht="18.75" customHeight="1">
      <c r="A62" s="465"/>
      <c r="B62" s="565" t="s">
        <v>136</v>
      </c>
      <c r="C62" s="523" t="s">
        <v>140</v>
      </c>
      <c r="D62" s="549"/>
      <c r="E62" s="562"/>
      <c r="F62" s="563">
        <f>F50*(1+F56/100)</f>
        <v>2338.1999999999998</v>
      </c>
      <c r="G62" s="563"/>
      <c r="H62" s="563">
        <v>2126.3894723807998</v>
      </c>
      <c r="I62" s="563">
        <f>I50*(1+I56/100)</f>
        <v>2297.7165217006</v>
      </c>
      <c r="J62" s="564">
        <f>J50*(1+J56/100)</f>
        <v>2297.7165217006</v>
      </c>
    </row>
    <row r="63" spans="1:11" s="134" customFormat="1" hidden="1">
      <c r="B63" s="565" t="s">
        <v>129</v>
      </c>
      <c r="C63" s="523" t="s">
        <v>140</v>
      </c>
      <c r="D63" s="535"/>
      <c r="E63" s="562"/>
      <c r="F63" s="507"/>
      <c r="G63" s="563"/>
      <c r="H63" s="563">
        <v>0</v>
      </c>
      <c r="I63" s="563"/>
      <c r="J63" s="564">
        <v>0</v>
      </c>
    </row>
    <row r="64" spans="1:11" s="134" customFormat="1" ht="25.5" hidden="1">
      <c r="B64" s="565" t="s">
        <v>263</v>
      </c>
      <c r="C64" s="523" t="s">
        <v>140</v>
      </c>
      <c r="D64" s="535"/>
      <c r="E64" s="562"/>
      <c r="F64" s="507"/>
      <c r="G64" s="563"/>
      <c r="H64" s="507"/>
      <c r="I64" s="507"/>
      <c r="J64" s="564"/>
    </row>
    <row r="65" spans="1:11" s="134" customFormat="1" ht="25.5">
      <c r="B65" s="565" t="s">
        <v>264</v>
      </c>
      <c r="C65" s="523" t="s">
        <v>140</v>
      </c>
      <c r="D65" s="535"/>
      <c r="E65" s="562"/>
      <c r="F65" s="507">
        <v>0</v>
      </c>
      <c r="G65" s="563"/>
      <c r="H65" s="581">
        <v>0</v>
      </c>
      <c r="I65" s="507">
        <v>0</v>
      </c>
      <c r="J65" s="564">
        <f>I65</f>
        <v>0</v>
      </c>
    </row>
    <row r="66" spans="1:11" s="134" customFormat="1" ht="19.5" customHeight="1">
      <c r="A66" s="465"/>
      <c r="B66" s="522" t="s">
        <v>265</v>
      </c>
      <c r="C66" s="523" t="s">
        <v>147</v>
      </c>
      <c r="D66" s="535"/>
      <c r="E66" s="577"/>
      <c r="F66" s="582">
        <f>F67</f>
        <v>1340.7</v>
      </c>
      <c r="G66" s="570"/>
      <c r="H66" s="583">
        <v>1165.8599999999999</v>
      </c>
      <c r="I66" s="582">
        <f>I67</f>
        <v>1229.7842000000001</v>
      </c>
      <c r="J66" s="584">
        <f>J67</f>
        <v>1291.27341</v>
      </c>
    </row>
    <row r="67" spans="1:11" s="134" customFormat="1" ht="16.5" customHeight="1">
      <c r="A67" s="465"/>
      <c r="B67" s="565" t="s">
        <v>136</v>
      </c>
      <c r="C67" s="523" t="s">
        <v>147</v>
      </c>
      <c r="D67" s="535"/>
      <c r="E67" s="577"/>
      <c r="F67" s="507">
        <v>1340.7</v>
      </c>
      <c r="G67" s="570"/>
      <c r="H67" s="583">
        <v>1165.8599999999999</v>
      </c>
      <c r="I67" s="507">
        <f>1042.19*1.18</f>
        <v>1229.7842000000001</v>
      </c>
      <c r="J67" s="564">
        <f>I67*1.05</f>
        <v>1291.27341</v>
      </c>
      <c r="K67" s="184"/>
    </row>
    <row r="68" spans="1:11" s="134" customFormat="1" hidden="1">
      <c r="B68" s="565" t="s">
        <v>137</v>
      </c>
      <c r="C68" s="523" t="s">
        <v>148</v>
      </c>
      <c r="D68" s="535"/>
      <c r="E68" s="562"/>
      <c r="F68" s="507"/>
      <c r="G68" s="563"/>
      <c r="H68" s="585"/>
      <c r="I68" s="507"/>
      <c r="J68" s="564"/>
    </row>
    <row r="69" spans="1:11" s="134" customFormat="1" hidden="1">
      <c r="B69" s="565" t="s">
        <v>129</v>
      </c>
      <c r="C69" s="523" t="s">
        <v>149</v>
      </c>
      <c r="D69" s="535"/>
      <c r="E69" s="562"/>
      <c r="F69" s="507"/>
      <c r="G69" s="563"/>
      <c r="H69" s="585"/>
      <c r="I69" s="507"/>
      <c r="J69" s="564"/>
    </row>
    <row r="70" spans="1:11" s="134" customFormat="1" hidden="1">
      <c r="B70" s="565" t="s">
        <v>130</v>
      </c>
      <c r="C70" s="523" t="s">
        <v>150</v>
      </c>
      <c r="D70" s="535"/>
      <c r="E70" s="562"/>
      <c r="F70" s="507"/>
      <c r="G70" s="563"/>
      <c r="H70" s="585"/>
      <c r="I70" s="507"/>
      <c r="J70" s="564"/>
    </row>
    <row r="71" spans="1:11" s="134" customFormat="1" hidden="1">
      <c r="B71" s="565" t="s">
        <v>131</v>
      </c>
      <c r="C71" s="523" t="s">
        <v>151</v>
      </c>
      <c r="D71" s="535"/>
      <c r="E71" s="562"/>
      <c r="F71" s="507"/>
      <c r="G71" s="563"/>
      <c r="H71" s="585"/>
      <c r="I71" s="507"/>
      <c r="J71" s="564"/>
    </row>
    <row r="72" spans="1:11" s="134" customFormat="1" hidden="1">
      <c r="B72" s="565" t="s">
        <v>132</v>
      </c>
      <c r="C72" s="523" t="s">
        <v>151</v>
      </c>
      <c r="D72" s="535"/>
      <c r="E72" s="562"/>
      <c r="F72" s="507"/>
      <c r="G72" s="563"/>
      <c r="H72" s="585"/>
      <c r="I72" s="507"/>
      <c r="J72" s="564"/>
    </row>
    <row r="73" spans="1:11" s="213" customFormat="1" ht="22.5" customHeight="1">
      <c r="A73" s="470"/>
      <c r="B73" s="586" t="s">
        <v>152</v>
      </c>
      <c r="C73" s="523" t="s">
        <v>123</v>
      </c>
      <c r="D73" s="535"/>
      <c r="E73" s="577"/>
      <c r="F73" s="587">
        <v>3134.82</v>
      </c>
      <c r="G73" s="588"/>
      <c r="H73" s="589">
        <v>2479.0724302698791</v>
      </c>
      <c r="I73" s="587">
        <f>I74+I77+I76</f>
        <v>2825.6954744663549</v>
      </c>
      <c r="J73" s="590">
        <f>J74+J77+J76</f>
        <v>2966.9802481896727</v>
      </c>
    </row>
    <row r="74" spans="1:11" s="134" customFormat="1" ht="15.75" customHeight="1">
      <c r="A74" s="465"/>
      <c r="B74" s="565" t="s">
        <v>136</v>
      </c>
      <c r="C74" s="523" t="s">
        <v>123</v>
      </c>
      <c r="D74" s="576"/>
      <c r="E74" s="562"/>
      <c r="F74" s="507">
        <f>F67*F62/1000</f>
        <v>3134.8247399999996</v>
      </c>
      <c r="G74" s="563"/>
      <c r="H74" s="581">
        <v>2479.0724302698791</v>
      </c>
      <c r="I74" s="507">
        <f>I61*I67/1000</f>
        <v>2825.6954744663549</v>
      </c>
      <c r="J74" s="564">
        <f>J61*J67/1000</f>
        <v>2966.9802481896727</v>
      </c>
    </row>
    <row r="75" spans="1:11" s="134" customFormat="1" hidden="1">
      <c r="B75" s="565" t="s">
        <v>137</v>
      </c>
      <c r="C75" s="523" t="s">
        <v>123</v>
      </c>
      <c r="D75" s="535"/>
      <c r="E75" s="562"/>
      <c r="F75" s="507"/>
      <c r="G75" s="563"/>
      <c r="H75" s="563"/>
      <c r="I75" s="563"/>
      <c r="J75" s="564"/>
    </row>
    <row r="76" spans="1:11" s="134" customFormat="1" hidden="1">
      <c r="B76" s="565" t="s">
        <v>129</v>
      </c>
      <c r="C76" s="523" t="s">
        <v>123</v>
      </c>
      <c r="D76" s="535"/>
      <c r="E76" s="562"/>
      <c r="F76" s="507"/>
      <c r="G76" s="563"/>
      <c r="H76" s="563"/>
      <c r="I76" s="563"/>
      <c r="J76" s="564"/>
    </row>
    <row r="77" spans="1:11" s="134" customFormat="1" hidden="1">
      <c r="B77" s="565" t="s">
        <v>130</v>
      </c>
      <c r="C77" s="523" t="s">
        <v>123</v>
      </c>
      <c r="D77" s="535"/>
      <c r="E77" s="562"/>
      <c r="F77" s="507"/>
      <c r="G77" s="563"/>
      <c r="H77" s="563"/>
      <c r="I77" s="563"/>
      <c r="J77" s="564"/>
    </row>
    <row r="78" spans="1:11" s="134" customFormat="1" hidden="1">
      <c r="B78" s="565" t="s">
        <v>131</v>
      </c>
      <c r="C78" s="523" t="s">
        <v>123</v>
      </c>
      <c r="D78" s="535"/>
      <c r="E78" s="562"/>
      <c r="F78" s="507"/>
      <c r="G78" s="563"/>
      <c r="H78" s="563"/>
      <c r="I78" s="563"/>
      <c r="J78" s="564"/>
    </row>
    <row r="79" spans="1:11" s="134" customFormat="1" hidden="1">
      <c r="B79" s="565" t="s">
        <v>132</v>
      </c>
      <c r="C79" s="523" t="s">
        <v>123</v>
      </c>
      <c r="D79" s="535"/>
      <c r="E79" s="562"/>
      <c r="F79" s="507"/>
      <c r="G79" s="563"/>
      <c r="H79" s="563"/>
      <c r="I79" s="563"/>
      <c r="J79" s="564"/>
    </row>
    <row r="80" spans="1:11" s="134" customFormat="1" ht="18" customHeight="1">
      <c r="A80" s="465"/>
      <c r="B80" s="522" t="s">
        <v>266</v>
      </c>
      <c r="C80" s="523" t="s">
        <v>123</v>
      </c>
      <c r="D80" s="535"/>
      <c r="E80" s="577"/>
      <c r="F80" s="582">
        <f>F82+F84</f>
        <v>3305.14</v>
      </c>
      <c r="G80" s="570"/>
      <c r="H80" s="570">
        <v>3352.5689780735333</v>
      </c>
      <c r="I80" s="570">
        <f>I82+I84+I87</f>
        <v>3305.14</v>
      </c>
      <c r="J80" s="584">
        <f>J82+J84+J87</f>
        <v>3453.8712999999998</v>
      </c>
    </row>
    <row r="81" spans="1:12" s="134" customFormat="1" ht="18" hidden="1" customHeight="1">
      <c r="A81" s="465"/>
      <c r="B81" s="591" t="s">
        <v>267</v>
      </c>
      <c r="C81" s="523" t="s">
        <v>123</v>
      </c>
      <c r="D81" s="576"/>
      <c r="E81" s="576"/>
      <c r="F81" s="507"/>
      <c r="G81" s="563"/>
      <c r="H81" s="563">
        <v>0</v>
      </c>
      <c r="I81" s="563">
        <f>H81</f>
        <v>0</v>
      </c>
      <c r="J81" s="564">
        <f>I81</f>
        <v>0</v>
      </c>
    </row>
    <row r="82" spans="1:12" s="134" customFormat="1" ht="17.25" customHeight="1">
      <c r="A82" s="465"/>
      <c r="B82" s="591" t="s">
        <v>153</v>
      </c>
      <c r="C82" s="523" t="s">
        <v>123</v>
      </c>
      <c r="D82" s="576"/>
      <c r="E82" s="576"/>
      <c r="F82" s="582">
        <v>3305.14</v>
      </c>
      <c r="G82" s="563"/>
      <c r="H82" s="563">
        <v>3352.5689780735333</v>
      </c>
      <c r="I82" s="563">
        <f>F82</f>
        <v>3305.14</v>
      </c>
      <c r="J82" s="564">
        <f>I82*1.045</f>
        <v>3453.8712999999998</v>
      </c>
      <c r="L82" s="592"/>
    </row>
    <row r="83" spans="1:12" s="134" customFormat="1" hidden="1">
      <c r="B83" s="593" t="s">
        <v>314</v>
      </c>
      <c r="C83" s="594" t="s">
        <v>123</v>
      </c>
      <c r="D83" s="595"/>
      <c r="E83" s="595"/>
      <c r="F83" s="596"/>
      <c r="G83" s="597"/>
      <c r="H83" s="597"/>
      <c r="I83" s="597"/>
      <c r="J83" s="598"/>
    </row>
    <row r="84" spans="1:12" s="134" customFormat="1" ht="17.25" customHeight="1">
      <c r="A84" s="465"/>
      <c r="B84" s="522" t="s">
        <v>155</v>
      </c>
      <c r="C84" s="523" t="s">
        <v>123</v>
      </c>
      <c r="D84" s="576"/>
      <c r="E84" s="576"/>
      <c r="F84" s="507">
        <v>0</v>
      </c>
      <c r="G84" s="563"/>
      <c r="H84" s="563">
        <v>0</v>
      </c>
      <c r="I84" s="563">
        <v>0</v>
      </c>
      <c r="J84" s="564">
        <f>I84*1.083</f>
        <v>0</v>
      </c>
    </row>
    <row r="85" spans="1:12" s="134" customFormat="1" hidden="1">
      <c r="B85" s="599" t="s">
        <v>156</v>
      </c>
      <c r="C85" s="523" t="s">
        <v>150</v>
      </c>
      <c r="D85" s="600"/>
      <c r="E85" s="601"/>
      <c r="F85" s="504"/>
      <c r="G85" s="602"/>
      <c r="H85" s="602"/>
      <c r="I85" s="602"/>
      <c r="J85" s="603"/>
    </row>
    <row r="86" spans="1:12" s="134" customFormat="1" hidden="1">
      <c r="B86" s="599" t="s">
        <v>157</v>
      </c>
      <c r="C86" s="523" t="s">
        <v>123</v>
      </c>
      <c r="D86" s="600"/>
      <c r="E86" s="601"/>
      <c r="F86" s="504"/>
      <c r="G86" s="602"/>
      <c r="H86" s="602"/>
      <c r="I86" s="602"/>
      <c r="J86" s="603"/>
    </row>
    <row r="87" spans="1:12" s="134" customFormat="1" ht="15" customHeight="1">
      <c r="B87" s="604" t="s">
        <v>314</v>
      </c>
      <c r="C87" s="523" t="s">
        <v>123</v>
      </c>
      <c r="D87" s="600"/>
      <c r="E87" s="601"/>
      <c r="F87" s="504">
        <v>0</v>
      </c>
      <c r="G87" s="602"/>
      <c r="H87" s="602">
        <v>0</v>
      </c>
      <c r="I87" s="602">
        <v>0</v>
      </c>
      <c r="J87" s="603">
        <f>I87</f>
        <v>0</v>
      </c>
    </row>
    <row r="88" spans="1:12" s="134" customFormat="1" ht="27.75" customHeight="1" thickBot="1">
      <c r="A88" s="465"/>
      <c r="B88" s="605" t="s">
        <v>159</v>
      </c>
      <c r="C88" s="606" t="s">
        <v>123</v>
      </c>
      <c r="D88" s="607"/>
      <c r="E88" s="607"/>
      <c r="F88" s="608">
        <f>F73+F80</f>
        <v>6439.96</v>
      </c>
      <c r="G88" s="609"/>
      <c r="H88" s="610">
        <v>5831.641408343412</v>
      </c>
      <c r="I88" s="609">
        <f>I73+I80</f>
        <v>6130.8354744663548</v>
      </c>
      <c r="J88" s="611">
        <f>J73+J80</f>
        <v>6420.851548189672</v>
      </c>
    </row>
    <row r="89" spans="1:12" s="134" customFormat="1" ht="29.25" customHeight="1" thickBot="1">
      <c r="B89" s="750" t="s">
        <v>315</v>
      </c>
      <c r="C89" s="752"/>
      <c r="D89" s="752"/>
      <c r="E89" s="752"/>
      <c r="F89" s="752"/>
      <c r="G89" s="752"/>
      <c r="H89" s="752"/>
      <c r="I89" s="752"/>
      <c r="J89" s="751"/>
    </row>
    <row r="90" spans="1:12" s="134" customFormat="1" ht="17.25" customHeight="1">
      <c r="A90" s="465"/>
      <c r="B90" s="612" t="s">
        <v>161</v>
      </c>
      <c r="C90" s="613" t="s">
        <v>162</v>
      </c>
      <c r="D90" s="614"/>
      <c r="E90" s="615"/>
      <c r="F90" s="616">
        <f>F93+F94</f>
        <v>680</v>
      </c>
      <c r="G90" s="617"/>
      <c r="H90" s="618">
        <v>599.97</v>
      </c>
      <c r="I90" s="616">
        <f>I93+I94</f>
        <v>599.97</v>
      </c>
      <c r="J90" s="619">
        <f>J93+J94</f>
        <v>599.97</v>
      </c>
    </row>
    <row r="91" spans="1:12" s="134" customFormat="1" ht="13.5" hidden="1" customHeight="1">
      <c r="B91" s="534" t="s">
        <v>163</v>
      </c>
      <c r="C91" s="548" t="s">
        <v>162</v>
      </c>
      <c r="D91" s="535"/>
      <c r="E91" s="535"/>
      <c r="F91" s="620"/>
      <c r="G91" s="621"/>
      <c r="H91" s="622"/>
      <c r="I91" s="530"/>
      <c r="J91" s="623"/>
    </row>
    <row r="92" spans="1:12" s="134" customFormat="1" ht="18" hidden="1" customHeight="1">
      <c r="B92" s="534" t="s">
        <v>167</v>
      </c>
      <c r="C92" s="548" t="s">
        <v>162</v>
      </c>
      <c r="D92" s="535"/>
      <c r="E92" s="535"/>
      <c r="F92" s="620"/>
      <c r="G92" s="624"/>
      <c r="H92" s="625"/>
      <c r="I92" s="626"/>
      <c r="J92" s="627"/>
    </row>
    <row r="93" spans="1:12" s="134" customFormat="1" ht="15.75" customHeight="1">
      <c r="A93" s="465"/>
      <c r="B93" s="628" t="s">
        <v>168</v>
      </c>
      <c r="C93" s="548" t="s">
        <v>162</v>
      </c>
      <c r="D93" s="535"/>
      <c r="E93" s="535"/>
      <c r="F93" s="620">
        <v>0</v>
      </c>
      <c r="G93" s="621"/>
      <c r="H93" s="622">
        <v>0</v>
      </c>
      <c r="I93" s="530">
        <v>0</v>
      </c>
      <c r="J93" s="623">
        <f>I93</f>
        <v>0</v>
      </c>
    </row>
    <row r="94" spans="1:12" s="134" customFormat="1" ht="17.25" customHeight="1">
      <c r="A94" s="465"/>
      <c r="B94" s="628" t="s">
        <v>164</v>
      </c>
      <c r="C94" s="548" t="s">
        <v>162</v>
      </c>
      <c r="D94" s="535"/>
      <c r="E94" s="576"/>
      <c r="F94" s="530">
        <v>680</v>
      </c>
      <c r="G94" s="531"/>
      <c r="H94" s="629">
        <v>599.97</v>
      </c>
      <c r="I94" s="530">
        <v>599.97</v>
      </c>
      <c r="J94" s="623">
        <f>I94</f>
        <v>599.97</v>
      </c>
    </row>
    <row r="95" spans="1:12" s="134" customFormat="1" ht="21.75" customHeight="1">
      <c r="A95" s="465"/>
      <c r="B95" s="630" t="s">
        <v>165</v>
      </c>
      <c r="C95" s="523" t="s">
        <v>166</v>
      </c>
      <c r="D95" s="631"/>
      <c r="E95" s="632"/>
      <c r="F95" s="633">
        <f>F113/F90</f>
        <v>4.7282941176470583</v>
      </c>
      <c r="G95" s="531"/>
      <c r="H95" s="634">
        <v>4.7282872000000005</v>
      </c>
      <c r="I95" s="635">
        <v>4.7282872000000005</v>
      </c>
      <c r="J95" s="636">
        <f>I95*1.081</f>
        <v>5.1112784632000006</v>
      </c>
    </row>
    <row r="96" spans="1:12" s="134" customFormat="1" ht="13.5" hidden="1" customHeight="1">
      <c r="B96" s="534" t="s">
        <v>163</v>
      </c>
      <c r="C96" s="523" t="s">
        <v>166</v>
      </c>
      <c r="D96" s="632"/>
      <c r="E96" s="632"/>
      <c r="F96" s="633"/>
      <c r="G96" s="531"/>
      <c r="H96" s="629"/>
      <c r="I96" s="530"/>
      <c r="J96" s="623"/>
    </row>
    <row r="97" spans="1:10" s="134" customFormat="1" ht="3" hidden="1" customHeight="1">
      <c r="B97" s="534" t="s">
        <v>167</v>
      </c>
      <c r="C97" s="523" t="s">
        <v>166</v>
      </c>
      <c r="D97" s="637"/>
      <c r="E97" s="637"/>
      <c r="F97" s="633"/>
      <c r="G97" s="626"/>
      <c r="H97" s="638"/>
      <c r="I97" s="626"/>
      <c r="J97" s="627"/>
    </row>
    <row r="98" spans="1:10" s="134" customFormat="1" ht="18.75" customHeight="1">
      <c r="A98" s="465"/>
      <c r="B98" s="628" t="s">
        <v>168</v>
      </c>
      <c r="C98" s="523" t="s">
        <v>166</v>
      </c>
      <c r="D98" s="631"/>
      <c r="E98" s="632"/>
      <c r="F98" s="633">
        <v>0</v>
      </c>
      <c r="G98" s="531"/>
      <c r="H98" s="629">
        <v>0</v>
      </c>
      <c r="I98" s="530">
        <v>0</v>
      </c>
      <c r="J98" s="623">
        <f>I98</f>
        <v>0</v>
      </c>
    </row>
    <row r="99" spans="1:10" s="134" customFormat="1" ht="21" customHeight="1">
      <c r="A99" s="465"/>
      <c r="B99" s="628" t="s">
        <v>164</v>
      </c>
      <c r="C99" s="523" t="s">
        <v>166</v>
      </c>
      <c r="D99" s="632"/>
      <c r="E99" s="632"/>
      <c r="F99" s="633">
        <f>F95</f>
        <v>4.7282941176470583</v>
      </c>
      <c r="G99" s="531"/>
      <c r="H99" s="634">
        <v>4.7282872000000005</v>
      </c>
      <c r="I99" s="633">
        <v>4.4189600000000002</v>
      </c>
      <c r="J99" s="639">
        <f>J95</f>
        <v>5.1112784632000006</v>
      </c>
    </row>
    <row r="100" spans="1:10" s="134" customFormat="1" ht="12.75" hidden="1" customHeight="1">
      <c r="B100" s="534" t="s">
        <v>169</v>
      </c>
      <c r="C100" s="523" t="s">
        <v>170</v>
      </c>
      <c r="D100" s="576"/>
      <c r="E100" s="576"/>
      <c r="F100" s="530"/>
      <c r="G100" s="531"/>
      <c r="H100" s="629">
        <v>0</v>
      </c>
      <c r="I100" s="530"/>
      <c r="J100" s="623">
        <f>J101+J102+J103+J104</f>
        <v>0</v>
      </c>
    </row>
    <row r="101" spans="1:10" s="134" customFormat="1" ht="12" hidden="1" customHeight="1">
      <c r="B101" s="534" t="s">
        <v>163</v>
      </c>
      <c r="C101" s="523" t="s">
        <v>170</v>
      </c>
      <c r="D101" s="576"/>
      <c r="E101" s="576"/>
      <c r="F101" s="530"/>
      <c r="G101" s="531"/>
      <c r="H101" s="629">
        <v>0</v>
      </c>
      <c r="I101" s="530"/>
      <c r="J101" s="623">
        <v>0</v>
      </c>
    </row>
    <row r="102" spans="1:10" s="134" customFormat="1" ht="13.5" hidden="1" customHeight="1">
      <c r="B102" s="534" t="s">
        <v>167</v>
      </c>
      <c r="C102" s="523" t="s">
        <v>170</v>
      </c>
      <c r="D102" s="576"/>
      <c r="E102" s="576"/>
      <c r="F102" s="530"/>
      <c r="G102" s="531"/>
      <c r="H102" s="629">
        <v>0</v>
      </c>
      <c r="I102" s="530"/>
      <c r="J102" s="623">
        <v>0</v>
      </c>
    </row>
    <row r="103" spans="1:10" s="134" customFormat="1" ht="16.5" hidden="1" customHeight="1">
      <c r="B103" s="534" t="s">
        <v>168</v>
      </c>
      <c r="C103" s="523" t="s">
        <v>170</v>
      </c>
      <c r="D103" s="576"/>
      <c r="E103" s="576"/>
      <c r="F103" s="530"/>
      <c r="G103" s="531"/>
      <c r="H103" s="629"/>
      <c r="I103" s="530"/>
      <c r="J103" s="623"/>
    </row>
    <row r="104" spans="1:10" s="134" customFormat="1" ht="16.5" hidden="1" customHeight="1">
      <c r="B104" s="534" t="s">
        <v>164</v>
      </c>
      <c r="C104" s="523" t="s">
        <v>170</v>
      </c>
      <c r="D104" s="632"/>
      <c r="E104" s="632"/>
      <c r="F104" s="530"/>
      <c r="G104" s="531"/>
      <c r="H104" s="629">
        <v>0</v>
      </c>
      <c r="I104" s="530"/>
      <c r="J104" s="623">
        <v>0</v>
      </c>
    </row>
    <row r="105" spans="1:10" s="134" customFormat="1" ht="28.5" hidden="1" customHeight="1">
      <c r="B105" s="630" t="s">
        <v>199</v>
      </c>
      <c r="C105" s="523" t="s">
        <v>166</v>
      </c>
      <c r="D105" s="631"/>
      <c r="E105" s="632"/>
      <c r="F105" s="530"/>
      <c r="G105" s="531"/>
      <c r="H105" s="629" t="e">
        <v>#DIV/0!</v>
      </c>
      <c r="I105" s="620"/>
      <c r="J105" s="640" t="e">
        <f>(J101*J106+J102*J107+J103*J108+J104*J109)/J100</f>
        <v>#DIV/0!</v>
      </c>
    </row>
    <row r="106" spans="1:10" s="134" customFormat="1" ht="15" hidden="1" customHeight="1">
      <c r="B106" s="534" t="s">
        <v>163</v>
      </c>
      <c r="C106" s="523" t="s">
        <v>166</v>
      </c>
      <c r="D106" s="641"/>
      <c r="E106" s="642"/>
      <c r="F106" s="530"/>
      <c r="G106" s="531"/>
      <c r="H106" s="629">
        <v>0</v>
      </c>
      <c r="I106" s="530"/>
      <c r="J106" s="623">
        <v>0</v>
      </c>
    </row>
    <row r="107" spans="1:10" s="134" customFormat="1" ht="15.75" hidden="1" customHeight="1">
      <c r="B107" s="534" t="s">
        <v>167</v>
      </c>
      <c r="C107" s="523" t="s">
        <v>166</v>
      </c>
      <c r="D107" s="641"/>
      <c r="E107" s="642"/>
      <c r="F107" s="530"/>
      <c r="G107" s="531"/>
      <c r="H107" s="629">
        <v>0</v>
      </c>
      <c r="I107" s="530"/>
      <c r="J107" s="623">
        <v>0</v>
      </c>
    </row>
    <row r="108" spans="1:10" s="134" customFormat="1" ht="14.25" hidden="1" customHeight="1">
      <c r="B108" s="534" t="s">
        <v>168</v>
      </c>
      <c r="C108" s="523" t="s">
        <v>166</v>
      </c>
      <c r="D108" s="631"/>
      <c r="E108" s="632"/>
      <c r="F108" s="530"/>
      <c r="G108" s="531"/>
      <c r="H108" s="629">
        <v>0</v>
      </c>
      <c r="I108" s="530"/>
      <c r="J108" s="623">
        <v>0</v>
      </c>
    </row>
    <row r="109" spans="1:10" s="134" customFormat="1" ht="15.75" hidden="1" customHeight="1">
      <c r="B109" s="534" t="s">
        <v>164</v>
      </c>
      <c r="C109" s="523" t="s">
        <v>166</v>
      </c>
      <c r="D109" s="641"/>
      <c r="E109" s="642"/>
      <c r="F109" s="530"/>
      <c r="G109" s="531"/>
      <c r="H109" s="629">
        <v>0</v>
      </c>
      <c r="I109" s="530"/>
      <c r="J109" s="623">
        <v>0</v>
      </c>
    </row>
    <row r="110" spans="1:10" s="134" customFormat="1" ht="18" hidden="1" customHeight="1">
      <c r="B110" s="630" t="s">
        <v>200</v>
      </c>
      <c r="C110" s="523" t="s">
        <v>166</v>
      </c>
      <c r="D110" s="641"/>
      <c r="E110" s="642"/>
      <c r="F110" s="530"/>
      <c r="G110" s="531"/>
      <c r="H110" s="629">
        <v>0</v>
      </c>
      <c r="I110" s="530"/>
      <c r="J110" s="623">
        <v>0</v>
      </c>
    </row>
    <row r="111" spans="1:10" s="134" customFormat="1" ht="21" customHeight="1">
      <c r="A111" s="465"/>
      <c r="B111" s="522" t="s">
        <v>201</v>
      </c>
      <c r="C111" s="523" t="s">
        <v>166</v>
      </c>
      <c r="D111" s="643"/>
      <c r="E111" s="643"/>
      <c r="F111" s="644">
        <f>F99</f>
        <v>4.7282941176470583</v>
      </c>
      <c r="G111" s="531"/>
      <c r="H111" s="633">
        <v>4.7282872000000005</v>
      </c>
      <c r="I111" s="644">
        <f>I113/I90</f>
        <v>4.7282872000000005</v>
      </c>
      <c r="J111" s="639">
        <f>J113/J90</f>
        <v>5.1112784632000006</v>
      </c>
    </row>
    <row r="112" spans="1:10" s="134" customFormat="1" ht="20.25" customHeight="1">
      <c r="A112" s="465"/>
      <c r="B112" s="522" t="s">
        <v>171</v>
      </c>
      <c r="C112" s="523" t="s">
        <v>172</v>
      </c>
      <c r="D112" s="579"/>
      <c r="E112" s="579"/>
      <c r="F112" s="620">
        <f>F90/F12*1000</f>
        <v>82.631572551735886</v>
      </c>
      <c r="G112" s="621"/>
      <c r="H112" s="620">
        <v>78.781090542382415</v>
      </c>
      <c r="I112" s="645">
        <f>I90/I12*1000</f>
        <v>72.585503950058666</v>
      </c>
      <c r="J112" s="623">
        <f>J90/J12*1000</f>
        <v>72.585503950058666</v>
      </c>
    </row>
    <row r="113" spans="1:15" s="134" customFormat="1" ht="21.75" customHeight="1" thickBot="1">
      <c r="A113" s="465"/>
      <c r="B113" s="605" t="s">
        <v>173</v>
      </c>
      <c r="C113" s="606" t="s">
        <v>123</v>
      </c>
      <c r="D113" s="646"/>
      <c r="E113" s="647"/>
      <c r="F113" s="608">
        <v>3215.24</v>
      </c>
      <c r="G113" s="648"/>
      <c r="H113" s="649">
        <v>2836.8304713840002</v>
      </c>
      <c r="I113" s="608">
        <f>I95*I90</f>
        <v>2836.8304713840002</v>
      </c>
      <c r="J113" s="611">
        <f>J95*J90</f>
        <v>3066.6137395661044</v>
      </c>
      <c r="K113" s="189"/>
      <c r="L113" s="189"/>
      <c r="M113" s="189"/>
      <c r="N113" s="189"/>
      <c r="O113" s="189"/>
    </row>
    <row r="114" spans="1:15" s="134" customFormat="1" ht="27" customHeight="1" thickBot="1">
      <c r="B114" s="756" t="s">
        <v>316</v>
      </c>
      <c r="C114" s="757"/>
      <c r="D114" s="757"/>
      <c r="E114" s="757"/>
      <c r="F114" s="757"/>
      <c r="G114" s="757"/>
      <c r="H114" s="757"/>
      <c r="I114" s="757"/>
      <c r="J114" s="758"/>
      <c r="K114" s="189"/>
      <c r="L114" s="650"/>
      <c r="M114" s="650"/>
      <c r="N114" s="650"/>
      <c r="O114" s="189"/>
    </row>
    <row r="115" spans="1:15" s="134" customFormat="1" ht="21.75" customHeight="1">
      <c r="A115" s="465"/>
      <c r="B115" s="515" t="s">
        <v>175</v>
      </c>
      <c r="C115" s="516" t="s">
        <v>142</v>
      </c>
      <c r="D115" s="544"/>
      <c r="E115" s="544"/>
      <c r="F115" s="651">
        <f>F118</f>
        <v>5.6179499999999996</v>
      </c>
      <c r="G115" s="652"/>
      <c r="H115" s="651">
        <v>5.585</v>
      </c>
      <c r="I115" s="651">
        <f>I118</f>
        <v>5.585</v>
      </c>
      <c r="J115" s="653">
        <f>I115</f>
        <v>5.585</v>
      </c>
      <c r="K115" s="471"/>
      <c r="L115" s="286"/>
      <c r="M115" s="286"/>
      <c r="N115" s="286"/>
      <c r="O115" s="189"/>
    </row>
    <row r="116" spans="1:15" s="134" customFormat="1" ht="18.75" hidden="1" customHeight="1">
      <c r="A116" s="465"/>
      <c r="B116" s="654" t="s">
        <v>317</v>
      </c>
      <c r="C116" s="594" t="s">
        <v>318</v>
      </c>
      <c r="D116" s="655"/>
      <c r="E116" s="655"/>
      <c r="F116" s="656"/>
      <c r="G116" s="657"/>
      <c r="H116" s="656">
        <v>155.38063333333332</v>
      </c>
      <c r="I116" s="656">
        <f>(25826+709.9+13854+6326+107640)/1000+0.061484/0.06</f>
        <v>155.38063333333332</v>
      </c>
      <c r="J116" s="658">
        <f>I116</f>
        <v>155.38063333333332</v>
      </c>
      <c r="K116" s="189"/>
      <c r="L116" s="189"/>
      <c r="M116" s="189"/>
      <c r="N116" s="189"/>
      <c r="O116" s="189"/>
    </row>
    <row r="117" spans="1:15" s="134" customFormat="1" ht="12.75" hidden="1" customHeight="1">
      <c r="B117" s="654" t="s">
        <v>319</v>
      </c>
      <c r="C117" s="613" t="s">
        <v>320</v>
      </c>
      <c r="D117" s="655"/>
      <c r="E117" s="655"/>
      <c r="F117" s="659"/>
      <c r="G117" s="660"/>
      <c r="H117" s="659"/>
      <c r="I117" s="661">
        <f>(25826+709.9+13854+6326+107640)/1000+0.061484/0.06</f>
        <v>155.38063333333332</v>
      </c>
      <c r="J117" s="658"/>
      <c r="K117" s="189"/>
      <c r="L117" s="189"/>
      <c r="M117" s="189"/>
      <c r="N117" s="189"/>
      <c r="O117" s="189"/>
    </row>
    <row r="118" spans="1:15" s="134" customFormat="1" ht="18" customHeight="1">
      <c r="B118" s="662" t="s">
        <v>321</v>
      </c>
      <c r="C118" s="523" t="s">
        <v>142</v>
      </c>
      <c r="D118" s="655"/>
      <c r="E118" s="655"/>
      <c r="F118" s="659">
        <f>F143/F124</f>
        <v>5.6179499999999996</v>
      </c>
      <c r="G118" s="660"/>
      <c r="H118" s="659">
        <v>5.585</v>
      </c>
      <c r="I118" s="659">
        <v>5.585</v>
      </c>
      <c r="J118" s="658">
        <f>I118</f>
        <v>5.585</v>
      </c>
      <c r="K118" s="189"/>
      <c r="L118" s="189"/>
      <c r="M118" s="189"/>
      <c r="N118" s="189"/>
      <c r="O118" s="189"/>
    </row>
    <row r="119" spans="1:15" s="134" customFormat="1" ht="18" customHeight="1">
      <c r="B119" s="654" t="s">
        <v>322</v>
      </c>
      <c r="C119" s="523" t="s">
        <v>142</v>
      </c>
      <c r="D119" s="655"/>
      <c r="E119" s="655"/>
      <c r="F119" s="659">
        <v>0</v>
      </c>
      <c r="G119" s="660"/>
      <c r="H119" s="659">
        <v>0</v>
      </c>
      <c r="I119" s="659">
        <v>0</v>
      </c>
      <c r="J119" s="658">
        <v>0</v>
      </c>
      <c r="K119" s="189"/>
      <c r="L119" s="189"/>
      <c r="M119" s="189"/>
      <c r="N119" s="189"/>
      <c r="O119" s="189"/>
    </row>
    <row r="120" spans="1:15" s="134" customFormat="1" ht="15.75" customHeight="1">
      <c r="B120" s="522" t="s">
        <v>268</v>
      </c>
      <c r="C120" s="523" t="s">
        <v>142</v>
      </c>
      <c r="D120" s="535"/>
      <c r="E120" s="549"/>
      <c r="F120" s="530">
        <v>0</v>
      </c>
      <c r="G120" s="531"/>
      <c r="H120" s="530">
        <v>0</v>
      </c>
      <c r="I120" s="530">
        <v>0</v>
      </c>
      <c r="J120" s="532">
        <v>0</v>
      </c>
      <c r="K120" s="189"/>
      <c r="L120" s="189"/>
      <c r="M120" s="189"/>
      <c r="N120" s="189"/>
      <c r="O120" s="189"/>
    </row>
    <row r="121" spans="1:15" s="134" customFormat="1" hidden="1">
      <c r="B121" s="654" t="s">
        <v>319</v>
      </c>
      <c r="C121" s="523" t="s">
        <v>142</v>
      </c>
      <c r="D121" s="535"/>
      <c r="E121" s="549"/>
      <c r="F121" s="530"/>
      <c r="G121" s="531"/>
      <c r="H121" s="530"/>
      <c r="I121" s="530"/>
      <c r="J121" s="532"/>
      <c r="K121" s="189"/>
      <c r="L121" s="189"/>
      <c r="M121" s="189"/>
      <c r="N121" s="189"/>
      <c r="O121" s="189"/>
    </row>
    <row r="122" spans="1:15" s="134" customFormat="1" hidden="1">
      <c r="B122" s="654" t="s">
        <v>323</v>
      </c>
      <c r="C122" s="523" t="s">
        <v>142</v>
      </c>
      <c r="D122" s="535"/>
      <c r="E122" s="549"/>
      <c r="F122" s="530"/>
      <c r="G122" s="531"/>
      <c r="H122" s="530"/>
      <c r="I122" s="530"/>
      <c r="J122" s="532"/>
      <c r="K122" s="189"/>
      <c r="L122" s="189"/>
      <c r="M122" s="189"/>
      <c r="N122" s="189"/>
      <c r="O122" s="189"/>
    </row>
    <row r="123" spans="1:15" s="134" customFormat="1" ht="16.5" hidden="1" customHeight="1">
      <c r="A123" s="465"/>
      <c r="B123" s="522" t="s">
        <v>206</v>
      </c>
      <c r="C123" s="523" t="s">
        <v>176</v>
      </c>
      <c r="D123" s="549"/>
      <c r="E123" s="549"/>
      <c r="F123" s="530"/>
      <c r="G123" s="531"/>
      <c r="H123" s="530"/>
      <c r="I123" s="530"/>
      <c r="J123" s="532"/>
      <c r="K123" s="189"/>
      <c r="L123" s="471"/>
      <c r="M123" s="471"/>
      <c r="N123" s="471"/>
      <c r="O123" s="189"/>
    </row>
    <row r="124" spans="1:15" s="134" customFormat="1" ht="16.5" customHeight="1">
      <c r="B124" s="654" t="s">
        <v>324</v>
      </c>
      <c r="C124" s="523" t="s">
        <v>176</v>
      </c>
      <c r="D124" s="535"/>
      <c r="E124" s="549"/>
      <c r="F124" s="530">
        <v>20</v>
      </c>
      <c r="G124" s="531"/>
      <c r="H124" s="530">
        <v>0</v>
      </c>
      <c r="I124" s="530">
        <f>I125</f>
        <v>0</v>
      </c>
      <c r="J124" s="623">
        <f>J125</f>
        <v>0</v>
      </c>
      <c r="K124" s="189"/>
      <c r="L124" s="189"/>
      <c r="M124" s="189"/>
      <c r="N124" s="189"/>
      <c r="O124" s="189"/>
    </row>
    <row r="125" spans="1:15" s="134" customFormat="1" ht="16.5" customHeight="1">
      <c r="B125" s="654" t="s">
        <v>325</v>
      </c>
      <c r="C125" s="523" t="s">
        <v>176</v>
      </c>
      <c r="D125" s="535"/>
      <c r="E125" s="549"/>
      <c r="F125" s="530"/>
      <c r="G125" s="531"/>
      <c r="H125" s="530">
        <v>0</v>
      </c>
      <c r="I125" s="530">
        <v>0</v>
      </c>
      <c r="J125" s="623">
        <f>I125*1.061</f>
        <v>0</v>
      </c>
      <c r="K125" s="189"/>
      <c r="L125" s="189"/>
      <c r="M125" s="189"/>
      <c r="N125" s="189"/>
      <c r="O125" s="189"/>
    </row>
    <row r="126" spans="1:15" s="134" customFormat="1" ht="14.25" customHeight="1">
      <c r="B126" s="522" t="s">
        <v>326</v>
      </c>
      <c r="C126" s="523" t="s">
        <v>176</v>
      </c>
      <c r="D126" s="535"/>
      <c r="E126" s="549"/>
      <c r="F126" s="530">
        <v>0</v>
      </c>
      <c r="G126" s="531"/>
      <c r="H126" s="530">
        <v>0</v>
      </c>
      <c r="I126" s="530">
        <v>0</v>
      </c>
      <c r="J126" s="623">
        <v>0</v>
      </c>
      <c r="K126" s="189"/>
      <c r="L126" s="189"/>
      <c r="M126" s="189"/>
      <c r="N126" s="189"/>
      <c r="O126" s="189"/>
    </row>
    <row r="127" spans="1:15" s="134" customFormat="1" ht="16.5" hidden="1" customHeight="1">
      <c r="B127" s="522" t="s">
        <v>327</v>
      </c>
      <c r="C127" s="523" t="s">
        <v>176</v>
      </c>
      <c r="D127" s="600"/>
      <c r="E127" s="601"/>
      <c r="F127" s="663"/>
      <c r="G127" s="664"/>
      <c r="H127" s="665">
        <v>0</v>
      </c>
      <c r="I127" s="663"/>
      <c r="J127" s="666">
        <v>0</v>
      </c>
      <c r="K127" s="189"/>
      <c r="L127" s="189"/>
      <c r="M127" s="189"/>
      <c r="N127" s="189"/>
      <c r="O127" s="189"/>
    </row>
    <row r="128" spans="1:15" s="134" customFormat="1" ht="18" customHeight="1">
      <c r="A128" s="465"/>
      <c r="B128" s="667" t="s">
        <v>177</v>
      </c>
      <c r="C128" s="523" t="s">
        <v>123</v>
      </c>
      <c r="D128" s="535"/>
      <c r="E128" s="549"/>
      <c r="F128" s="668">
        <f>F124*F115</f>
        <v>112.35899999999999</v>
      </c>
      <c r="G128" s="669"/>
      <c r="H128" s="670">
        <v>0</v>
      </c>
      <c r="I128" s="668">
        <f>(I115-I118)*I124+I118*I125+I120*I126</f>
        <v>0</v>
      </c>
      <c r="J128" s="671">
        <f>(J115-J118)*J124+J118*J125+J120*J126</f>
        <v>0</v>
      </c>
      <c r="K128" s="189"/>
      <c r="L128" s="469"/>
      <c r="M128" s="469"/>
      <c r="N128" s="469"/>
      <c r="O128" s="189"/>
    </row>
    <row r="129" spans="1:15" s="134" customFormat="1" ht="18.75" hidden="1" customHeight="1">
      <c r="A129" s="465"/>
      <c r="B129" s="654" t="s">
        <v>178</v>
      </c>
      <c r="C129" s="594" t="s">
        <v>140</v>
      </c>
      <c r="D129" s="672"/>
      <c r="E129" s="672"/>
      <c r="F129" s="656">
        <f>F130+F131+F132+F133</f>
        <v>0</v>
      </c>
      <c r="G129" s="657"/>
      <c r="H129" s="673">
        <v>0</v>
      </c>
      <c r="I129" s="656">
        <f>I130+I131+I132</f>
        <v>0</v>
      </c>
      <c r="J129" s="674">
        <f>J130+J131+J132</f>
        <v>0</v>
      </c>
      <c r="K129" s="189"/>
      <c r="L129" s="189"/>
      <c r="M129" s="189"/>
      <c r="N129" s="189"/>
      <c r="O129" s="189"/>
    </row>
    <row r="130" spans="1:15" s="134" customFormat="1" ht="20.25" hidden="1" customHeight="1">
      <c r="A130" s="465"/>
      <c r="B130" s="599" t="s">
        <v>179</v>
      </c>
      <c r="C130" s="675" t="s">
        <v>140</v>
      </c>
      <c r="D130" s="601"/>
      <c r="E130" s="601"/>
      <c r="F130" s="663">
        <v>0</v>
      </c>
      <c r="G130" s="664"/>
      <c r="H130" s="665">
        <v>0</v>
      </c>
      <c r="I130" s="663">
        <v>0</v>
      </c>
      <c r="J130" s="676">
        <f>I130</f>
        <v>0</v>
      </c>
      <c r="L130" s="133"/>
      <c r="M130" s="133"/>
      <c r="O130" s="133"/>
    </row>
    <row r="131" spans="1:15" s="134" customFormat="1" ht="16.5" hidden="1" customHeight="1">
      <c r="B131" s="599" t="s">
        <v>269</v>
      </c>
      <c r="C131" s="675" t="s">
        <v>140</v>
      </c>
      <c r="D131" s="601"/>
      <c r="E131" s="601"/>
      <c r="F131" s="663">
        <v>0</v>
      </c>
      <c r="G131" s="664"/>
      <c r="H131" s="665">
        <v>0</v>
      </c>
      <c r="I131" s="663">
        <v>0</v>
      </c>
      <c r="J131" s="676">
        <f>I131</f>
        <v>0</v>
      </c>
      <c r="M131" s="133"/>
    </row>
    <row r="132" spans="1:15" s="134" customFormat="1" hidden="1">
      <c r="B132" s="599" t="s">
        <v>180</v>
      </c>
      <c r="C132" s="675" t="s">
        <v>140</v>
      </c>
      <c r="D132" s="600"/>
      <c r="E132" s="600"/>
      <c r="F132" s="677">
        <v>0</v>
      </c>
      <c r="G132" s="664"/>
      <c r="H132" s="665"/>
      <c r="I132" s="663"/>
      <c r="J132" s="676"/>
      <c r="M132" s="133"/>
    </row>
    <row r="133" spans="1:15" s="134" customFormat="1" ht="18" hidden="1" customHeight="1">
      <c r="B133" s="678" t="s">
        <v>328</v>
      </c>
      <c r="C133" s="675" t="s">
        <v>141</v>
      </c>
      <c r="D133" s="600"/>
      <c r="E133" s="600"/>
      <c r="F133" s="677">
        <v>0</v>
      </c>
      <c r="G133" s="664"/>
      <c r="H133" s="665">
        <v>0</v>
      </c>
      <c r="I133" s="663">
        <v>0</v>
      </c>
      <c r="J133" s="676">
        <f>I133</f>
        <v>0</v>
      </c>
      <c r="M133" s="133"/>
    </row>
    <row r="134" spans="1:15" s="134" customFormat="1" hidden="1">
      <c r="B134" s="678" t="s">
        <v>329</v>
      </c>
      <c r="C134" s="675" t="s">
        <v>330</v>
      </c>
      <c r="D134" s="600"/>
      <c r="E134" s="600"/>
      <c r="F134" s="677"/>
      <c r="G134" s="664"/>
      <c r="H134" s="665"/>
      <c r="I134" s="663"/>
      <c r="J134" s="676"/>
    </row>
    <row r="135" spans="1:15" s="134" customFormat="1" ht="21" hidden="1" customHeight="1">
      <c r="A135" s="465"/>
      <c r="B135" s="599" t="s">
        <v>181</v>
      </c>
      <c r="C135" s="675"/>
      <c r="D135" s="601"/>
      <c r="E135" s="601"/>
      <c r="F135" s="663"/>
      <c r="G135" s="664"/>
      <c r="H135" s="665"/>
      <c r="I135" s="663"/>
      <c r="J135" s="676"/>
    </row>
    <row r="136" spans="1:15" s="134" customFormat="1" ht="20.25" hidden="1" customHeight="1">
      <c r="A136" s="465"/>
      <c r="B136" s="599" t="s">
        <v>179</v>
      </c>
      <c r="C136" s="675" t="s">
        <v>147</v>
      </c>
      <c r="D136" s="600"/>
      <c r="E136" s="600"/>
      <c r="F136" s="530">
        <v>0</v>
      </c>
      <c r="G136" s="531"/>
      <c r="H136" s="525">
        <v>0</v>
      </c>
      <c r="I136" s="530">
        <v>0</v>
      </c>
      <c r="J136" s="532">
        <f>I136</f>
        <v>0</v>
      </c>
    </row>
    <row r="137" spans="1:15" s="134" customFormat="1" ht="16.5" hidden="1" customHeight="1">
      <c r="B137" s="599" t="s">
        <v>209</v>
      </c>
      <c r="C137" s="675" t="s">
        <v>147</v>
      </c>
      <c r="D137" s="600"/>
      <c r="E137" s="600"/>
      <c r="F137" s="530">
        <v>0</v>
      </c>
      <c r="G137" s="531"/>
      <c r="H137" s="525">
        <v>0</v>
      </c>
      <c r="I137" s="530">
        <v>0</v>
      </c>
      <c r="J137" s="623">
        <f>I137</f>
        <v>0</v>
      </c>
    </row>
    <row r="138" spans="1:15" s="134" customFormat="1" hidden="1">
      <c r="B138" s="599" t="s">
        <v>331</v>
      </c>
      <c r="C138" s="675" t="s">
        <v>147</v>
      </c>
      <c r="D138" s="600"/>
      <c r="E138" s="600"/>
      <c r="F138" s="530"/>
      <c r="G138" s="531"/>
      <c r="H138" s="525"/>
      <c r="I138" s="530"/>
      <c r="J138" s="623"/>
    </row>
    <row r="139" spans="1:15" s="134" customFormat="1" ht="18" hidden="1" customHeight="1">
      <c r="B139" s="678" t="s">
        <v>328</v>
      </c>
      <c r="C139" s="675" t="s">
        <v>147</v>
      </c>
      <c r="D139" s="600"/>
      <c r="E139" s="600"/>
      <c r="F139" s="663">
        <v>0</v>
      </c>
      <c r="G139" s="664"/>
      <c r="H139" s="665">
        <v>0</v>
      </c>
      <c r="I139" s="663">
        <v>0</v>
      </c>
      <c r="J139" s="666">
        <f>I139</f>
        <v>0</v>
      </c>
    </row>
    <row r="140" spans="1:15" s="134" customFormat="1" hidden="1">
      <c r="B140" s="678" t="s">
        <v>329</v>
      </c>
      <c r="C140" s="675" t="s">
        <v>330</v>
      </c>
      <c r="D140" s="600"/>
      <c r="E140" s="600"/>
      <c r="F140" s="663">
        <v>0</v>
      </c>
      <c r="G140" s="664"/>
      <c r="H140" s="665"/>
      <c r="I140" s="663"/>
      <c r="J140" s="666"/>
    </row>
    <row r="141" spans="1:15" s="134" customFormat="1" hidden="1">
      <c r="B141" s="678" t="s">
        <v>332</v>
      </c>
      <c r="C141" s="675"/>
      <c r="D141" s="600"/>
      <c r="E141" s="600"/>
      <c r="F141" s="663">
        <v>0</v>
      </c>
      <c r="G141" s="664"/>
      <c r="H141" s="665"/>
      <c r="I141" s="663"/>
      <c r="J141" s="666"/>
    </row>
    <row r="142" spans="1:15" s="134" customFormat="1" ht="18" hidden="1" customHeight="1">
      <c r="B142" s="678" t="s">
        <v>270</v>
      </c>
      <c r="C142" s="675" t="s">
        <v>123</v>
      </c>
      <c r="D142" s="600"/>
      <c r="E142" s="600"/>
      <c r="F142" s="663">
        <v>0</v>
      </c>
      <c r="G142" s="664"/>
      <c r="H142" s="665">
        <v>0</v>
      </c>
      <c r="I142" s="663">
        <v>0</v>
      </c>
      <c r="J142" s="666">
        <f>I142*1.069</f>
        <v>0</v>
      </c>
    </row>
    <row r="143" spans="1:15" s="134" customFormat="1" ht="18" customHeight="1">
      <c r="B143" s="578" t="s">
        <v>333</v>
      </c>
      <c r="C143" s="523" t="s">
        <v>123</v>
      </c>
      <c r="D143" s="600"/>
      <c r="E143" s="600"/>
      <c r="F143" s="663">
        <v>112.35899999999999</v>
      </c>
      <c r="G143" s="664"/>
      <c r="H143" s="663">
        <v>0</v>
      </c>
      <c r="I143" s="663">
        <f>I128</f>
        <v>0</v>
      </c>
      <c r="J143" s="666">
        <f>J128</f>
        <v>0</v>
      </c>
    </row>
    <row r="144" spans="1:15" s="134" customFormat="1" ht="18" customHeight="1">
      <c r="B144" s="578" t="s">
        <v>334</v>
      </c>
      <c r="C144" s="523" t="s">
        <v>123</v>
      </c>
      <c r="D144" s="535"/>
      <c r="E144" s="535"/>
      <c r="F144" s="530">
        <v>0</v>
      </c>
      <c r="G144" s="531"/>
      <c r="H144" s="530">
        <v>0</v>
      </c>
      <c r="I144" s="530">
        <v>0</v>
      </c>
      <c r="J144" s="623">
        <v>0</v>
      </c>
    </row>
    <row r="145" spans="1:13" s="134" customFormat="1" ht="21.75" customHeight="1" thickBot="1">
      <c r="A145" s="465"/>
      <c r="B145" s="605" t="s">
        <v>182</v>
      </c>
      <c r="C145" s="606" t="s">
        <v>123</v>
      </c>
      <c r="D145" s="679"/>
      <c r="E145" s="679"/>
      <c r="F145" s="608">
        <v>0</v>
      </c>
      <c r="G145" s="648"/>
      <c r="H145" s="680">
        <v>0</v>
      </c>
      <c r="I145" s="608">
        <f>I130*I136/1000+I131*I137/1000+I133*I139/1000+I142</f>
        <v>0</v>
      </c>
      <c r="J145" s="611">
        <f>J130*J136/1000+J131*J137/1000+J133*J139/1000+J142</f>
        <v>0</v>
      </c>
    </row>
    <row r="147" spans="1:13">
      <c r="I147" s="97" t="s">
        <v>271</v>
      </c>
      <c r="J147" s="97" t="s">
        <v>272</v>
      </c>
    </row>
    <row r="148" spans="1:13">
      <c r="B148" s="97">
        <f>B149+C149</f>
        <v>563.02750700000001</v>
      </c>
      <c r="H148" s="97">
        <v>2.1800000000000002</v>
      </c>
      <c r="I148" s="97">
        <f>B149/B148*H148</f>
        <v>0.22734975408581595</v>
      </c>
      <c r="J148" s="97">
        <f>C149/B148*H148</f>
        <v>1.9526502459141841</v>
      </c>
      <c r="M148" s="472">
        <f>M145+H145</f>
        <v>0</v>
      </c>
    </row>
    <row r="149" spans="1:13">
      <c r="B149" s="97">
        <f>25.825507+10.572+22.32</f>
        <v>58.717507000000005</v>
      </c>
      <c r="C149" s="97">
        <f>443.26+45.68+15.37</f>
        <v>504.31</v>
      </c>
      <c r="H149" s="97">
        <v>23.7</v>
      </c>
      <c r="I149" s="97">
        <f>B149/B148*H149</f>
        <v>2.4716464090980907</v>
      </c>
      <c r="J149" s="97">
        <f>C149/B148*H149</f>
        <v>21.228353590901907</v>
      </c>
      <c r="M149" s="97" t="e">
        <f>H145/M148</f>
        <v>#DIV/0!</v>
      </c>
    </row>
    <row r="150" spans="1:13">
      <c r="H150" s="472">
        <f>F133</f>
        <v>0</v>
      </c>
      <c r="I150" s="97">
        <f>B149/B148*H150</f>
        <v>0</v>
      </c>
      <c r="J150" s="97">
        <f>C149/B148*H150</f>
        <v>0</v>
      </c>
    </row>
  </sheetData>
  <mergeCells count="13">
    <mergeCell ref="B6:J6"/>
    <mergeCell ref="B22:J22"/>
    <mergeCell ref="B27:J27"/>
    <mergeCell ref="B89:J89"/>
    <mergeCell ref="B114:J114"/>
    <mergeCell ref="B2:J2"/>
    <mergeCell ref="C3:F3"/>
    <mergeCell ref="B4:B5"/>
    <mergeCell ref="C4:C5"/>
    <mergeCell ref="F4:F5"/>
    <mergeCell ref="G4:G5"/>
    <mergeCell ref="H4:H5"/>
    <mergeCell ref="I4:J4"/>
  </mergeCells>
  <pageMargins left="0.59055118110236227" right="0.39370078740157483" top="0.7" bottom="0.61" header="0.51181102362204722" footer="0.51181102362204722"/>
  <pageSetup paperSize="9" scale="5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21"/>
  <sheetViews>
    <sheetView view="pageBreakPreview" zoomScale="120" zoomScaleNormal="100" zoomScaleSheetLayoutView="120" workbookViewId="0">
      <selection activeCell="S2" sqref="S2"/>
    </sheetView>
  </sheetViews>
  <sheetFormatPr defaultColWidth="0.85546875" defaultRowHeight="12" customHeight="1"/>
  <cols>
    <col min="1" max="74" width="0.85546875" style="475"/>
    <col min="75" max="75" width="3.140625" style="475" customWidth="1"/>
    <col min="76" max="84" width="0.85546875" style="475"/>
    <col min="85" max="85" width="3.5703125" style="475" customWidth="1"/>
    <col min="86" max="94" width="0.85546875" style="475"/>
    <col min="95" max="95" width="3.42578125" style="475" customWidth="1"/>
    <col min="96" max="105" width="0" style="475" hidden="1" customWidth="1"/>
    <col min="106" max="106" width="10.5703125" style="476" hidden="1" customWidth="1"/>
    <col min="107" max="107" width="11" style="475" hidden="1" customWidth="1"/>
    <col min="108" max="108" width="10.5703125" style="475" hidden="1" customWidth="1"/>
    <col min="109" max="109" width="10.42578125" style="475" hidden="1" customWidth="1"/>
    <col min="110" max="110" width="11.140625" style="475" hidden="1" customWidth="1"/>
    <col min="111" max="111" width="11.28515625" style="475" hidden="1" customWidth="1"/>
    <col min="112" max="112" width="11.5703125" style="475" hidden="1" customWidth="1"/>
    <col min="113" max="113" width="10.42578125" style="475" hidden="1" customWidth="1"/>
    <col min="114" max="114" width="11" style="475" hidden="1" customWidth="1"/>
    <col min="115" max="115" width="11.5703125" style="475" hidden="1" customWidth="1"/>
    <col min="116" max="118" width="0.85546875" style="475"/>
    <col min="119" max="120" width="0.85546875" style="475" hidden="1" customWidth="1"/>
    <col min="121" max="168" width="0" style="475" hidden="1" customWidth="1"/>
    <col min="169" max="16384" width="0.85546875" style="475"/>
  </cols>
  <sheetData>
    <row r="1" spans="1:219" s="473" customFormat="1">
      <c r="BX1" s="759" t="s">
        <v>273</v>
      </c>
      <c r="BY1" s="759"/>
      <c r="BZ1" s="759"/>
      <c r="CA1" s="759"/>
      <c r="CB1" s="759"/>
      <c r="CC1" s="759"/>
      <c r="CD1" s="759"/>
      <c r="CE1" s="759"/>
      <c r="CF1" s="759"/>
      <c r="CG1" s="759"/>
      <c r="CH1" s="759"/>
      <c r="CI1" s="759"/>
      <c r="CJ1" s="759"/>
      <c r="CK1" s="759"/>
      <c r="CL1" s="759"/>
      <c r="CM1" s="759"/>
      <c r="CN1" s="759"/>
      <c r="CO1" s="759"/>
      <c r="CP1" s="759"/>
      <c r="CQ1" s="759"/>
      <c r="DA1" s="474" t="s">
        <v>274</v>
      </c>
      <c r="DK1" s="474"/>
    </row>
    <row r="2" spans="1:219" ht="48.75" customHeight="1">
      <c r="BX2" s="759"/>
      <c r="BY2" s="759"/>
      <c r="BZ2" s="759"/>
      <c r="CA2" s="759"/>
      <c r="CB2" s="759"/>
      <c r="CC2" s="759"/>
      <c r="CD2" s="759"/>
      <c r="CE2" s="759"/>
      <c r="CF2" s="759"/>
      <c r="CG2" s="759"/>
      <c r="CH2" s="759"/>
      <c r="CI2" s="759"/>
      <c r="CJ2" s="759"/>
      <c r="CK2" s="759"/>
      <c r="CL2" s="759"/>
      <c r="CM2" s="759"/>
      <c r="CN2" s="759"/>
      <c r="CO2" s="759"/>
      <c r="CP2" s="759"/>
      <c r="CQ2" s="759"/>
    </row>
    <row r="3" spans="1:219" ht="29.25" customHeight="1">
      <c r="A3" s="760" t="s">
        <v>275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760"/>
      <c r="X3" s="760"/>
      <c r="Y3" s="760"/>
      <c r="Z3" s="760"/>
      <c r="AA3" s="760"/>
      <c r="AB3" s="760"/>
      <c r="AC3" s="760"/>
      <c r="AD3" s="760"/>
      <c r="AE3" s="760"/>
      <c r="AF3" s="760"/>
      <c r="AG3" s="760"/>
      <c r="AH3" s="760"/>
      <c r="AI3" s="760"/>
      <c r="AJ3" s="760"/>
      <c r="AK3" s="760"/>
      <c r="AL3" s="760"/>
      <c r="AM3" s="760"/>
      <c r="AN3" s="760"/>
      <c r="AO3" s="760"/>
      <c r="AP3" s="760"/>
      <c r="AQ3" s="760"/>
      <c r="AR3" s="760"/>
      <c r="AS3" s="760"/>
      <c r="AT3" s="760"/>
      <c r="AU3" s="760"/>
      <c r="AV3" s="760"/>
      <c r="AW3" s="760"/>
      <c r="AX3" s="760"/>
      <c r="AY3" s="760"/>
      <c r="AZ3" s="760"/>
      <c r="BA3" s="760"/>
      <c r="BB3" s="760"/>
      <c r="BC3" s="760"/>
      <c r="BD3" s="760"/>
      <c r="BE3" s="760"/>
      <c r="BF3" s="760"/>
      <c r="BG3" s="760"/>
      <c r="BH3" s="760"/>
      <c r="BI3" s="760"/>
      <c r="BJ3" s="760"/>
      <c r="BK3" s="760"/>
      <c r="BL3" s="760"/>
      <c r="BM3" s="760"/>
      <c r="BN3" s="760"/>
      <c r="BO3" s="760"/>
      <c r="BP3" s="760"/>
      <c r="BQ3" s="760"/>
      <c r="BR3" s="760"/>
      <c r="BS3" s="760"/>
      <c r="BT3" s="760"/>
      <c r="BU3" s="760"/>
      <c r="BV3" s="760"/>
      <c r="BW3" s="760"/>
      <c r="BX3" s="760"/>
      <c r="BY3" s="760"/>
      <c r="BZ3" s="760"/>
      <c r="CA3" s="760"/>
      <c r="CB3" s="760"/>
      <c r="CC3" s="760"/>
      <c r="CD3" s="760"/>
      <c r="CE3" s="760"/>
      <c r="CF3" s="760"/>
      <c r="CG3" s="760"/>
      <c r="CH3" s="760"/>
      <c r="CI3" s="760"/>
      <c r="CJ3" s="760"/>
      <c r="CK3" s="760"/>
      <c r="CL3" s="760"/>
      <c r="CM3" s="760"/>
      <c r="CN3" s="760"/>
      <c r="CO3" s="760"/>
      <c r="CP3" s="760"/>
      <c r="CQ3" s="760"/>
      <c r="CR3" s="760"/>
      <c r="CS3" s="760"/>
      <c r="CT3" s="760"/>
      <c r="CU3" s="760"/>
      <c r="CV3" s="760"/>
      <c r="CW3" s="760"/>
      <c r="CX3" s="760"/>
      <c r="CY3" s="760"/>
      <c r="CZ3" s="760"/>
      <c r="DA3" s="760"/>
      <c r="DK3" s="477"/>
    </row>
    <row r="4" spans="1:219" ht="15" customHeight="1">
      <c r="A4" s="477"/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  <c r="BC4" s="477"/>
      <c r="BD4" s="477"/>
      <c r="BE4" s="477"/>
      <c r="BF4" s="477"/>
      <c r="BG4" s="477"/>
      <c r="BH4" s="477"/>
      <c r="BI4" s="477"/>
      <c r="BJ4" s="477"/>
      <c r="BK4" s="477"/>
      <c r="BL4" s="477"/>
      <c r="BM4" s="477"/>
      <c r="BN4" s="477"/>
      <c r="BO4" s="477"/>
      <c r="BP4" s="477"/>
      <c r="BQ4" s="477"/>
      <c r="BR4" s="477"/>
      <c r="BS4" s="477"/>
      <c r="BT4" s="477"/>
      <c r="BU4" s="477"/>
      <c r="BV4" s="477"/>
      <c r="BW4" s="477"/>
      <c r="BX4" s="477"/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7"/>
      <c r="CL4" s="477"/>
      <c r="CM4" s="477"/>
      <c r="CN4" s="477"/>
      <c r="CO4" s="477"/>
      <c r="CP4" s="477"/>
      <c r="CQ4" s="477"/>
      <c r="CR4" s="477"/>
      <c r="CS4" s="477"/>
      <c r="CT4" s="477"/>
      <c r="CU4" s="477"/>
      <c r="CV4" s="477"/>
      <c r="CW4" s="477"/>
      <c r="CX4" s="477"/>
      <c r="CY4" s="477"/>
      <c r="CZ4" s="477"/>
      <c r="DA4" s="477"/>
      <c r="DK4" s="477"/>
    </row>
    <row r="5" spans="1:219" s="479" customFormat="1" ht="30" customHeight="1">
      <c r="A5" s="761" t="s">
        <v>276</v>
      </c>
      <c r="B5" s="762"/>
      <c r="C5" s="762"/>
      <c r="D5" s="762"/>
      <c r="E5" s="762"/>
      <c r="F5" s="762"/>
      <c r="G5" s="763"/>
      <c r="H5" s="761" t="s">
        <v>277</v>
      </c>
      <c r="I5" s="762"/>
      <c r="J5" s="762"/>
      <c r="K5" s="762"/>
      <c r="L5" s="762"/>
      <c r="M5" s="762"/>
      <c r="N5" s="762"/>
      <c r="O5" s="762"/>
      <c r="P5" s="762"/>
      <c r="Q5" s="762"/>
      <c r="R5" s="762"/>
      <c r="S5" s="762"/>
      <c r="T5" s="762"/>
      <c r="U5" s="762"/>
      <c r="V5" s="762"/>
      <c r="W5" s="762"/>
      <c r="X5" s="762"/>
      <c r="Y5" s="762"/>
      <c r="Z5" s="762"/>
      <c r="AA5" s="762"/>
      <c r="AB5" s="762"/>
      <c r="AC5" s="762"/>
      <c r="AD5" s="762"/>
      <c r="AE5" s="762"/>
      <c r="AF5" s="762"/>
      <c r="AG5" s="762"/>
      <c r="AH5" s="762"/>
      <c r="AI5" s="762"/>
      <c r="AJ5" s="762"/>
      <c r="AK5" s="762"/>
      <c r="AL5" s="762"/>
      <c r="AM5" s="762"/>
      <c r="AN5" s="762"/>
      <c r="AO5" s="762"/>
      <c r="AP5" s="762"/>
      <c r="AQ5" s="762"/>
      <c r="AR5" s="762"/>
      <c r="AS5" s="762"/>
      <c r="AT5" s="762"/>
      <c r="AU5" s="762"/>
      <c r="AV5" s="762"/>
      <c r="AW5" s="762"/>
      <c r="AX5" s="762"/>
      <c r="AY5" s="762"/>
      <c r="AZ5" s="763"/>
      <c r="BA5" s="767" t="s">
        <v>278</v>
      </c>
      <c r="BB5" s="768"/>
      <c r="BC5" s="768"/>
      <c r="BD5" s="768"/>
      <c r="BE5" s="768"/>
      <c r="BF5" s="768"/>
      <c r="BG5" s="768"/>
      <c r="BH5" s="768"/>
      <c r="BI5" s="768"/>
      <c r="BJ5" s="768"/>
      <c r="BK5" s="768"/>
      <c r="BL5" s="768"/>
      <c r="BM5" s="769"/>
      <c r="BN5" s="773" t="s">
        <v>279</v>
      </c>
      <c r="BO5" s="774"/>
      <c r="BP5" s="774"/>
      <c r="BQ5" s="774"/>
      <c r="BR5" s="774"/>
      <c r="BS5" s="774"/>
      <c r="BT5" s="774"/>
      <c r="BU5" s="774"/>
      <c r="BV5" s="774"/>
      <c r="BW5" s="774"/>
      <c r="BX5" s="774"/>
      <c r="BY5" s="774"/>
      <c r="BZ5" s="774"/>
      <c r="CA5" s="774"/>
      <c r="CB5" s="774"/>
      <c r="CC5" s="774"/>
      <c r="CD5" s="774"/>
      <c r="CE5" s="774"/>
      <c r="CF5" s="774"/>
      <c r="CG5" s="774"/>
      <c r="CH5" s="774"/>
      <c r="CI5" s="774"/>
      <c r="CJ5" s="774"/>
      <c r="CK5" s="774"/>
      <c r="CL5" s="774"/>
      <c r="CM5" s="774"/>
      <c r="CN5" s="774"/>
      <c r="CO5" s="774"/>
      <c r="CP5" s="774"/>
      <c r="CQ5" s="774"/>
      <c r="CR5" s="774"/>
      <c r="CS5" s="774"/>
      <c r="CT5" s="774"/>
      <c r="CU5" s="774"/>
      <c r="CV5" s="774"/>
      <c r="CW5" s="774"/>
      <c r="CX5" s="774"/>
      <c r="CY5" s="774"/>
      <c r="CZ5" s="774"/>
      <c r="DA5" s="774"/>
      <c r="DB5" s="774"/>
      <c r="DC5" s="774"/>
      <c r="DD5" s="774"/>
      <c r="DE5" s="774"/>
      <c r="DF5" s="774"/>
      <c r="DG5" s="774"/>
      <c r="DH5" s="774"/>
      <c r="DI5" s="774"/>
      <c r="DJ5" s="774"/>
      <c r="DK5" s="775"/>
      <c r="DL5" s="478"/>
    </row>
    <row r="6" spans="1:219" s="481" customFormat="1" ht="30" customHeight="1">
      <c r="A6" s="764"/>
      <c r="B6" s="765"/>
      <c r="C6" s="765"/>
      <c r="D6" s="765"/>
      <c r="E6" s="765"/>
      <c r="F6" s="765"/>
      <c r="G6" s="766"/>
      <c r="H6" s="764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  <c r="U6" s="765"/>
      <c r="V6" s="765"/>
      <c r="W6" s="765"/>
      <c r="X6" s="765"/>
      <c r="Y6" s="765"/>
      <c r="Z6" s="765"/>
      <c r="AA6" s="765"/>
      <c r="AB6" s="765"/>
      <c r="AC6" s="765"/>
      <c r="AD6" s="765"/>
      <c r="AE6" s="765"/>
      <c r="AF6" s="765"/>
      <c r="AG6" s="765"/>
      <c r="AH6" s="765"/>
      <c r="AI6" s="765"/>
      <c r="AJ6" s="765"/>
      <c r="AK6" s="765"/>
      <c r="AL6" s="765"/>
      <c r="AM6" s="765"/>
      <c r="AN6" s="765"/>
      <c r="AO6" s="765"/>
      <c r="AP6" s="765"/>
      <c r="AQ6" s="765"/>
      <c r="AR6" s="765"/>
      <c r="AS6" s="765"/>
      <c r="AT6" s="765"/>
      <c r="AU6" s="765"/>
      <c r="AV6" s="765"/>
      <c r="AW6" s="765"/>
      <c r="AX6" s="765"/>
      <c r="AY6" s="765"/>
      <c r="AZ6" s="766"/>
      <c r="BA6" s="770"/>
      <c r="BB6" s="771"/>
      <c r="BC6" s="771"/>
      <c r="BD6" s="771"/>
      <c r="BE6" s="771"/>
      <c r="BF6" s="771"/>
      <c r="BG6" s="771"/>
      <c r="BH6" s="771"/>
      <c r="BI6" s="771"/>
      <c r="BJ6" s="771"/>
      <c r="BK6" s="771"/>
      <c r="BL6" s="771"/>
      <c r="BM6" s="772"/>
      <c r="BN6" s="776">
        <v>2016</v>
      </c>
      <c r="BO6" s="777"/>
      <c r="BP6" s="777"/>
      <c r="BQ6" s="777"/>
      <c r="BR6" s="777"/>
      <c r="BS6" s="777"/>
      <c r="BT6" s="777"/>
      <c r="BU6" s="777"/>
      <c r="BV6" s="777"/>
      <c r="BW6" s="778"/>
      <c r="BX6" s="776">
        <v>2017</v>
      </c>
      <c r="BY6" s="777"/>
      <c r="BZ6" s="777"/>
      <c r="CA6" s="777"/>
      <c r="CB6" s="777"/>
      <c r="CC6" s="777"/>
      <c r="CD6" s="777"/>
      <c r="CE6" s="777"/>
      <c r="CF6" s="777"/>
      <c r="CG6" s="778"/>
      <c r="CH6" s="776">
        <v>2018</v>
      </c>
      <c r="CI6" s="777"/>
      <c r="CJ6" s="777"/>
      <c r="CK6" s="777"/>
      <c r="CL6" s="777"/>
      <c r="CM6" s="777"/>
      <c r="CN6" s="777"/>
      <c r="CO6" s="777"/>
      <c r="CP6" s="777"/>
      <c r="CQ6" s="778"/>
      <c r="CR6" s="776">
        <v>2019</v>
      </c>
      <c r="CS6" s="777"/>
      <c r="CT6" s="777"/>
      <c r="CU6" s="777"/>
      <c r="CV6" s="777"/>
      <c r="CW6" s="777"/>
      <c r="CX6" s="777"/>
      <c r="CY6" s="777"/>
      <c r="CZ6" s="777"/>
      <c r="DA6" s="778"/>
      <c r="DB6" s="480">
        <v>2019</v>
      </c>
      <c r="DC6" s="480">
        <v>2020</v>
      </c>
      <c r="DD6" s="480">
        <v>2021</v>
      </c>
      <c r="DE6" s="480">
        <v>2022</v>
      </c>
      <c r="DF6" s="480">
        <v>2023</v>
      </c>
      <c r="DG6" s="480">
        <v>2024</v>
      </c>
      <c r="DH6" s="480">
        <v>2025</v>
      </c>
      <c r="DI6" s="480">
        <v>2026</v>
      </c>
      <c r="DJ6" s="480">
        <v>2027</v>
      </c>
      <c r="DK6" s="480">
        <v>2028</v>
      </c>
    </row>
    <row r="7" spans="1:219" ht="15">
      <c r="A7" s="785">
        <v>1</v>
      </c>
      <c r="B7" s="785"/>
      <c r="C7" s="785"/>
      <c r="D7" s="785"/>
      <c r="E7" s="785"/>
      <c r="F7" s="785"/>
      <c r="G7" s="785"/>
      <c r="H7" s="786">
        <v>2</v>
      </c>
      <c r="I7" s="787"/>
      <c r="J7" s="787"/>
      <c r="K7" s="787"/>
      <c r="L7" s="787"/>
      <c r="M7" s="787"/>
      <c r="N7" s="787"/>
      <c r="O7" s="787"/>
      <c r="P7" s="787"/>
      <c r="Q7" s="787"/>
      <c r="R7" s="787"/>
      <c r="S7" s="787"/>
      <c r="T7" s="787"/>
      <c r="U7" s="787"/>
      <c r="V7" s="787"/>
      <c r="W7" s="787"/>
      <c r="X7" s="787"/>
      <c r="Y7" s="787"/>
      <c r="Z7" s="787"/>
      <c r="AA7" s="787"/>
      <c r="AB7" s="787"/>
      <c r="AC7" s="787"/>
      <c r="AD7" s="787"/>
      <c r="AE7" s="787"/>
      <c r="AF7" s="787"/>
      <c r="AG7" s="787"/>
      <c r="AH7" s="787"/>
      <c r="AI7" s="787"/>
      <c r="AJ7" s="787"/>
      <c r="AK7" s="787"/>
      <c r="AL7" s="787"/>
      <c r="AM7" s="787"/>
      <c r="AN7" s="787"/>
      <c r="AO7" s="787"/>
      <c r="AP7" s="787"/>
      <c r="AQ7" s="787"/>
      <c r="AR7" s="787"/>
      <c r="AS7" s="787"/>
      <c r="AT7" s="787"/>
      <c r="AU7" s="787"/>
      <c r="AV7" s="787"/>
      <c r="AW7" s="787"/>
      <c r="AX7" s="787"/>
      <c r="AY7" s="787"/>
      <c r="AZ7" s="788"/>
      <c r="BA7" s="779">
        <v>3</v>
      </c>
      <c r="BB7" s="780"/>
      <c r="BC7" s="780"/>
      <c r="BD7" s="780"/>
      <c r="BE7" s="780"/>
      <c r="BF7" s="780"/>
      <c r="BG7" s="780"/>
      <c r="BH7" s="780"/>
      <c r="BI7" s="780"/>
      <c r="BJ7" s="780"/>
      <c r="BK7" s="780"/>
      <c r="BL7" s="780"/>
      <c r="BM7" s="781"/>
      <c r="BN7" s="779">
        <v>4</v>
      </c>
      <c r="BO7" s="780"/>
      <c r="BP7" s="780"/>
      <c r="BQ7" s="780"/>
      <c r="BR7" s="780"/>
      <c r="BS7" s="780"/>
      <c r="BT7" s="780"/>
      <c r="BU7" s="780"/>
      <c r="BV7" s="780"/>
      <c r="BW7" s="781"/>
      <c r="BX7" s="779">
        <v>5</v>
      </c>
      <c r="BY7" s="780"/>
      <c r="BZ7" s="780"/>
      <c r="CA7" s="780"/>
      <c r="CB7" s="780"/>
      <c r="CC7" s="780"/>
      <c r="CD7" s="780"/>
      <c r="CE7" s="780"/>
      <c r="CF7" s="780"/>
      <c r="CG7" s="781"/>
      <c r="CH7" s="779">
        <v>6</v>
      </c>
      <c r="CI7" s="780"/>
      <c r="CJ7" s="780"/>
      <c r="CK7" s="780"/>
      <c r="CL7" s="780"/>
      <c r="CM7" s="780"/>
      <c r="CN7" s="780"/>
      <c r="CO7" s="780"/>
      <c r="CP7" s="780"/>
      <c r="CQ7" s="781"/>
      <c r="CR7" s="779" t="s">
        <v>280</v>
      </c>
      <c r="CS7" s="780"/>
      <c r="CT7" s="780"/>
      <c r="CU7" s="780"/>
      <c r="CV7" s="780"/>
      <c r="CW7" s="780"/>
      <c r="CX7" s="780"/>
      <c r="CY7" s="780"/>
      <c r="CZ7" s="780"/>
      <c r="DA7" s="781"/>
      <c r="DB7" s="482">
        <v>7</v>
      </c>
      <c r="DC7" s="483">
        <v>8</v>
      </c>
      <c r="DD7" s="482">
        <v>7</v>
      </c>
      <c r="DE7" s="483">
        <v>8</v>
      </c>
      <c r="DF7" s="482">
        <v>7</v>
      </c>
      <c r="DG7" s="483">
        <v>8</v>
      </c>
      <c r="DH7" s="482">
        <v>7</v>
      </c>
      <c r="DI7" s="483">
        <v>8</v>
      </c>
      <c r="DJ7" s="482">
        <v>7</v>
      </c>
      <c r="DK7" s="483">
        <v>8</v>
      </c>
    </row>
    <row r="8" spans="1:219" ht="30" customHeight="1">
      <c r="A8" s="782" t="s">
        <v>281</v>
      </c>
      <c r="B8" s="782"/>
      <c r="C8" s="782"/>
      <c r="D8" s="782"/>
      <c r="E8" s="782"/>
      <c r="F8" s="782"/>
      <c r="G8" s="782"/>
      <c r="H8" s="484"/>
      <c r="I8" s="783" t="s">
        <v>282</v>
      </c>
      <c r="J8" s="783"/>
      <c r="K8" s="783"/>
      <c r="L8" s="783"/>
      <c r="M8" s="783"/>
      <c r="N8" s="783"/>
      <c r="O8" s="783"/>
      <c r="P8" s="783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3"/>
      <c r="AD8" s="783"/>
      <c r="AE8" s="783"/>
      <c r="AF8" s="783"/>
      <c r="AG8" s="783"/>
      <c r="AH8" s="783"/>
      <c r="AI8" s="783"/>
      <c r="AJ8" s="783"/>
      <c r="AK8" s="783"/>
      <c r="AL8" s="783"/>
      <c r="AM8" s="783"/>
      <c r="AN8" s="783"/>
      <c r="AO8" s="783"/>
      <c r="AP8" s="783"/>
      <c r="AQ8" s="783"/>
      <c r="AR8" s="783"/>
      <c r="AS8" s="783"/>
      <c r="AT8" s="783"/>
      <c r="AU8" s="783"/>
      <c r="AV8" s="783"/>
      <c r="AW8" s="783"/>
      <c r="AX8" s="783"/>
      <c r="AY8" s="783"/>
      <c r="AZ8" s="784"/>
      <c r="BA8" s="485"/>
      <c r="BB8" s="777"/>
      <c r="BC8" s="777"/>
      <c r="BD8" s="777"/>
      <c r="BE8" s="777"/>
      <c r="BF8" s="777"/>
      <c r="BG8" s="777"/>
      <c r="BH8" s="777"/>
      <c r="BI8" s="777"/>
      <c r="BJ8" s="777"/>
      <c r="BK8" s="777"/>
      <c r="BL8" s="777"/>
      <c r="BM8" s="778"/>
      <c r="BN8" s="779"/>
      <c r="BO8" s="780"/>
      <c r="BP8" s="780"/>
      <c r="BQ8" s="780"/>
      <c r="BR8" s="780"/>
      <c r="BS8" s="780"/>
      <c r="BT8" s="780"/>
      <c r="BU8" s="780"/>
      <c r="BV8" s="780"/>
      <c r="BW8" s="781"/>
      <c r="BX8" s="779">
        <v>4.2999999999999997E-2</v>
      </c>
      <c r="BY8" s="780"/>
      <c r="BZ8" s="780"/>
      <c r="CA8" s="780"/>
      <c r="CB8" s="780"/>
      <c r="CC8" s="780"/>
      <c r="CD8" s="780"/>
      <c r="CE8" s="780"/>
      <c r="CF8" s="780"/>
      <c r="CG8" s="781"/>
      <c r="CH8" s="779">
        <v>4.2999999999999997E-2</v>
      </c>
      <c r="CI8" s="780"/>
      <c r="CJ8" s="780"/>
      <c r="CK8" s="780"/>
      <c r="CL8" s="780"/>
      <c r="CM8" s="780"/>
      <c r="CN8" s="780"/>
      <c r="CO8" s="780"/>
      <c r="CP8" s="780"/>
      <c r="CQ8" s="781"/>
      <c r="CR8" s="779"/>
      <c r="CS8" s="780"/>
      <c r="CT8" s="780"/>
      <c r="CU8" s="780"/>
      <c r="CV8" s="780"/>
      <c r="CW8" s="780"/>
      <c r="CX8" s="780"/>
      <c r="CY8" s="780"/>
      <c r="CZ8" s="780"/>
      <c r="DA8" s="781"/>
      <c r="DB8" s="482">
        <v>5.5E-2</v>
      </c>
      <c r="DC8" s="483">
        <v>5.5E-2</v>
      </c>
      <c r="DD8" s="482">
        <v>5.5E-2</v>
      </c>
      <c r="DE8" s="483">
        <v>5.5E-2</v>
      </c>
      <c r="DF8" s="482">
        <v>5.5E-2</v>
      </c>
      <c r="DG8" s="483">
        <v>5.5E-2</v>
      </c>
      <c r="DH8" s="482">
        <v>5.5E-2</v>
      </c>
      <c r="DI8" s="483">
        <v>5.5E-2</v>
      </c>
      <c r="DJ8" s="482">
        <v>5.5E-2</v>
      </c>
      <c r="DK8" s="483">
        <v>5.5E-2</v>
      </c>
    </row>
    <row r="9" spans="1:219" ht="30" customHeight="1">
      <c r="A9" s="782" t="s">
        <v>283</v>
      </c>
      <c r="B9" s="782"/>
      <c r="C9" s="782"/>
      <c r="D9" s="782"/>
      <c r="E9" s="782"/>
      <c r="F9" s="782"/>
      <c r="G9" s="782"/>
      <c r="H9" s="484"/>
      <c r="I9" s="783" t="s">
        <v>284</v>
      </c>
      <c r="J9" s="783"/>
      <c r="K9" s="783"/>
      <c r="L9" s="783"/>
      <c r="M9" s="783"/>
      <c r="N9" s="783"/>
      <c r="O9" s="783"/>
      <c r="P9" s="783"/>
      <c r="Q9" s="783"/>
      <c r="R9" s="783"/>
      <c r="S9" s="783"/>
      <c r="T9" s="783"/>
      <c r="U9" s="783"/>
      <c r="V9" s="783"/>
      <c r="W9" s="783"/>
      <c r="X9" s="783"/>
      <c r="Y9" s="783"/>
      <c r="Z9" s="783"/>
      <c r="AA9" s="783"/>
      <c r="AB9" s="783"/>
      <c r="AC9" s="783"/>
      <c r="AD9" s="783"/>
      <c r="AE9" s="783"/>
      <c r="AF9" s="783"/>
      <c r="AG9" s="783"/>
      <c r="AH9" s="783"/>
      <c r="AI9" s="783"/>
      <c r="AJ9" s="783"/>
      <c r="AK9" s="783"/>
      <c r="AL9" s="783"/>
      <c r="AM9" s="783"/>
      <c r="AN9" s="783"/>
      <c r="AO9" s="783"/>
      <c r="AP9" s="783"/>
      <c r="AQ9" s="783"/>
      <c r="AR9" s="783"/>
      <c r="AS9" s="783"/>
      <c r="AT9" s="783"/>
      <c r="AU9" s="783"/>
      <c r="AV9" s="783"/>
      <c r="AW9" s="783"/>
      <c r="AX9" s="783"/>
      <c r="AY9" s="783"/>
      <c r="AZ9" s="784"/>
      <c r="BA9" s="485"/>
      <c r="BB9" s="777" t="s">
        <v>144</v>
      </c>
      <c r="BC9" s="777"/>
      <c r="BD9" s="777"/>
      <c r="BE9" s="777"/>
      <c r="BF9" s="777"/>
      <c r="BG9" s="777"/>
      <c r="BH9" s="777"/>
      <c r="BI9" s="777"/>
      <c r="BJ9" s="777"/>
      <c r="BK9" s="777"/>
      <c r="BL9" s="777"/>
      <c r="BM9" s="778"/>
      <c r="BN9" s="779"/>
      <c r="BO9" s="780"/>
      <c r="BP9" s="780"/>
      <c r="BQ9" s="780"/>
      <c r="BR9" s="780"/>
      <c r="BS9" s="780"/>
      <c r="BT9" s="780"/>
      <c r="BU9" s="780"/>
      <c r="BV9" s="780"/>
      <c r="BW9" s="781"/>
      <c r="BX9" s="779">
        <v>1</v>
      </c>
      <c r="BY9" s="780"/>
      <c r="BZ9" s="780"/>
      <c r="CA9" s="780"/>
      <c r="CB9" s="780"/>
      <c r="CC9" s="780"/>
      <c r="CD9" s="780"/>
      <c r="CE9" s="780"/>
      <c r="CF9" s="780"/>
      <c r="CG9" s="781"/>
      <c r="CH9" s="779">
        <v>1</v>
      </c>
      <c r="CI9" s="780"/>
      <c r="CJ9" s="780"/>
      <c r="CK9" s="780"/>
      <c r="CL9" s="780"/>
      <c r="CM9" s="780"/>
      <c r="CN9" s="780"/>
      <c r="CO9" s="780"/>
      <c r="CP9" s="780"/>
      <c r="CQ9" s="781"/>
      <c r="CR9" s="779"/>
      <c r="CS9" s="780"/>
      <c r="CT9" s="780"/>
      <c r="CU9" s="780"/>
      <c r="CV9" s="780"/>
      <c r="CW9" s="780"/>
      <c r="CX9" s="780"/>
      <c r="CY9" s="780"/>
      <c r="CZ9" s="780"/>
      <c r="DA9" s="781"/>
      <c r="DB9" s="482">
        <v>1</v>
      </c>
      <c r="DC9" s="483">
        <v>1</v>
      </c>
      <c r="DD9" s="482">
        <v>1</v>
      </c>
      <c r="DE9" s="483">
        <v>1</v>
      </c>
      <c r="DF9" s="482">
        <v>1</v>
      </c>
      <c r="DG9" s="483">
        <v>1</v>
      </c>
      <c r="DH9" s="482">
        <v>1</v>
      </c>
      <c r="DI9" s="483">
        <v>1</v>
      </c>
      <c r="DJ9" s="482">
        <v>1</v>
      </c>
      <c r="DK9" s="483">
        <v>1</v>
      </c>
    </row>
    <row r="10" spans="1:219" ht="30" customHeight="1">
      <c r="A10" s="782" t="s">
        <v>285</v>
      </c>
      <c r="B10" s="782"/>
      <c r="C10" s="782"/>
      <c r="D10" s="782"/>
      <c r="E10" s="782"/>
      <c r="F10" s="782"/>
      <c r="G10" s="782"/>
      <c r="H10" s="484"/>
      <c r="I10" s="783" t="s">
        <v>286</v>
      </c>
      <c r="J10" s="783"/>
      <c r="K10" s="783"/>
      <c r="L10" s="783"/>
      <c r="M10" s="783"/>
      <c r="N10" s="783"/>
      <c r="O10" s="783"/>
      <c r="P10" s="783"/>
      <c r="Q10" s="783"/>
      <c r="R10" s="783"/>
      <c r="S10" s="783"/>
      <c r="T10" s="783"/>
      <c r="U10" s="783"/>
      <c r="V10" s="783"/>
      <c r="W10" s="783"/>
      <c r="X10" s="783"/>
      <c r="Y10" s="783"/>
      <c r="Z10" s="783"/>
      <c r="AA10" s="783"/>
      <c r="AB10" s="783"/>
      <c r="AC10" s="783"/>
      <c r="AD10" s="783"/>
      <c r="AE10" s="783"/>
      <c r="AF10" s="783"/>
      <c r="AG10" s="783"/>
      <c r="AH10" s="783"/>
      <c r="AI10" s="783"/>
      <c r="AJ10" s="783"/>
      <c r="AK10" s="783"/>
      <c r="AL10" s="783"/>
      <c r="AM10" s="783"/>
      <c r="AN10" s="783"/>
      <c r="AO10" s="783"/>
      <c r="AP10" s="783"/>
      <c r="AQ10" s="783"/>
      <c r="AR10" s="783"/>
      <c r="AS10" s="783"/>
      <c r="AT10" s="783"/>
      <c r="AU10" s="783"/>
      <c r="AV10" s="783"/>
      <c r="AW10" s="783"/>
      <c r="AX10" s="783"/>
      <c r="AY10" s="783"/>
      <c r="AZ10" s="784"/>
      <c r="BA10" s="485"/>
      <c r="BB10" s="777"/>
      <c r="BC10" s="777"/>
      <c r="BD10" s="777"/>
      <c r="BE10" s="777"/>
      <c r="BF10" s="777"/>
      <c r="BG10" s="777"/>
      <c r="BH10" s="777"/>
      <c r="BI10" s="777"/>
      <c r="BJ10" s="777"/>
      <c r="BK10" s="777"/>
      <c r="BL10" s="777"/>
      <c r="BM10" s="778"/>
      <c r="BN10" s="779"/>
      <c r="BO10" s="780"/>
      <c r="BP10" s="780"/>
      <c r="BQ10" s="780"/>
      <c r="BR10" s="780"/>
      <c r="BS10" s="780"/>
      <c r="BT10" s="780"/>
      <c r="BU10" s="780"/>
      <c r="BV10" s="780"/>
      <c r="BW10" s="781"/>
      <c r="BX10" s="779">
        <v>0</v>
      </c>
      <c r="BY10" s="780"/>
      <c r="BZ10" s="780"/>
      <c r="CA10" s="780"/>
      <c r="CB10" s="780"/>
      <c r="CC10" s="780"/>
      <c r="CD10" s="780"/>
      <c r="CE10" s="780"/>
      <c r="CF10" s="780"/>
      <c r="CG10" s="781"/>
      <c r="CH10" s="779">
        <v>0</v>
      </c>
      <c r="CI10" s="780"/>
      <c r="CJ10" s="780"/>
      <c r="CK10" s="780"/>
      <c r="CL10" s="780"/>
      <c r="CM10" s="780"/>
      <c r="CN10" s="780"/>
      <c r="CO10" s="780"/>
      <c r="CP10" s="780"/>
      <c r="CQ10" s="781"/>
      <c r="CR10" s="779"/>
      <c r="CS10" s="780"/>
      <c r="CT10" s="780"/>
      <c r="CU10" s="780"/>
      <c r="CV10" s="780"/>
      <c r="CW10" s="780"/>
      <c r="CX10" s="780"/>
      <c r="CY10" s="780"/>
      <c r="CZ10" s="780"/>
      <c r="DA10" s="781"/>
      <c r="DB10" s="482">
        <v>0</v>
      </c>
      <c r="DC10" s="483">
        <v>0</v>
      </c>
      <c r="DD10" s="482">
        <v>0</v>
      </c>
      <c r="DE10" s="483">
        <v>0</v>
      </c>
      <c r="DF10" s="482">
        <v>0</v>
      </c>
      <c r="DG10" s="483">
        <v>0</v>
      </c>
      <c r="DH10" s="482">
        <v>0</v>
      </c>
      <c r="DI10" s="483">
        <v>0</v>
      </c>
      <c r="DJ10" s="482">
        <v>0</v>
      </c>
      <c r="DK10" s="483">
        <v>0</v>
      </c>
    </row>
    <row r="11" spans="1:219" ht="60" customHeight="1">
      <c r="A11" s="782" t="s">
        <v>287</v>
      </c>
      <c r="B11" s="782"/>
      <c r="C11" s="782"/>
      <c r="D11" s="782"/>
      <c r="E11" s="782"/>
      <c r="F11" s="782"/>
      <c r="G11" s="782"/>
      <c r="H11" s="484"/>
      <c r="I11" s="783" t="s">
        <v>288</v>
      </c>
      <c r="J11" s="783"/>
      <c r="K11" s="783"/>
      <c r="L11" s="783"/>
      <c r="M11" s="783"/>
      <c r="N11" s="783"/>
      <c r="O11" s="783"/>
      <c r="P11" s="783"/>
      <c r="Q11" s="783"/>
      <c r="R11" s="783"/>
      <c r="S11" s="783"/>
      <c r="T11" s="783"/>
      <c r="U11" s="783"/>
      <c r="V11" s="783"/>
      <c r="W11" s="783"/>
      <c r="X11" s="783"/>
      <c r="Y11" s="783"/>
      <c r="Z11" s="783"/>
      <c r="AA11" s="783"/>
      <c r="AB11" s="783"/>
      <c r="AC11" s="783"/>
      <c r="AD11" s="783"/>
      <c r="AE11" s="783"/>
      <c r="AF11" s="783"/>
      <c r="AG11" s="783"/>
      <c r="AH11" s="783"/>
      <c r="AI11" s="783"/>
      <c r="AJ11" s="783"/>
      <c r="AK11" s="783"/>
      <c r="AL11" s="783"/>
      <c r="AM11" s="783"/>
      <c r="AN11" s="783"/>
      <c r="AO11" s="783"/>
      <c r="AP11" s="783"/>
      <c r="AQ11" s="783"/>
      <c r="AR11" s="783"/>
      <c r="AS11" s="783"/>
      <c r="AT11" s="783"/>
      <c r="AU11" s="783"/>
      <c r="AV11" s="783"/>
      <c r="AW11" s="783"/>
      <c r="AX11" s="783"/>
      <c r="AY11" s="783"/>
      <c r="AZ11" s="784"/>
      <c r="BA11" s="485"/>
      <c r="BB11" s="777" t="s">
        <v>289</v>
      </c>
      <c r="BC11" s="777"/>
      <c r="BD11" s="777"/>
      <c r="BE11" s="777"/>
      <c r="BF11" s="777"/>
      <c r="BG11" s="777"/>
      <c r="BH11" s="777"/>
      <c r="BI11" s="777"/>
      <c r="BJ11" s="777"/>
      <c r="BK11" s="777"/>
      <c r="BL11" s="777"/>
      <c r="BM11" s="778"/>
      <c r="BN11" s="779">
        <v>115.1</v>
      </c>
      <c r="BO11" s="780"/>
      <c r="BP11" s="780"/>
      <c r="BQ11" s="780"/>
      <c r="BR11" s="780"/>
      <c r="BS11" s="780"/>
      <c r="BT11" s="780"/>
      <c r="BU11" s="780"/>
      <c r="BV11" s="780"/>
      <c r="BW11" s="781"/>
      <c r="BX11" s="779">
        <v>115.1</v>
      </c>
      <c r="BY11" s="780"/>
      <c r="BZ11" s="780"/>
      <c r="CA11" s="780"/>
      <c r="CB11" s="780"/>
      <c r="CC11" s="780"/>
      <c r="CD11" s="780"/>
      <c r="CE11" s="780"/>
      <c r="CF11" s="780"/>
      <c r="CG11" s="781"/>
      <c r="CH11" s="779">
        <v>115.1</v>
      </c>
      <c r="CI11" s="780"/>
      <c r="CJ11" s="780"/>
      <c r="CK11" s="780"/>
      <c r="CL11" s="780"/>
      <c r="CM11" s="780"/>
      <c r="CN11" s="780"/>
      <c r="CO11" s="780"/>
      <c r="CP11" s="780"/>
      <c r="CQ11" s="781"/>
      <c r="CR11" s="779"/>
      <c r="CS11" s="780"/>
      <c r="CT11" s="780"/>
      <c r="CU11" s="780"/>
      <c r="CV11" s="780"/>
      <c r="CW11" s="780"/>
      <c r="CX11" s="780"/>
      <c r="CY11" s="780"/>
      <c r="CZ11" s="780"/>
      <c r="DA11" s="781"/>
      <c r="DB11" s="482">
        <v>4182.99</v>
      </c>
      <c r="DC11" s="483">
        <v>4182.99</v>
      </c>
      <c r="DD11" s="482">
        <v>4182.99</v>
      </c>
      <c r="DE11" s="483">
        <v>4182.99</v>
      </c>
      <c r="DF11" s="482">
        <v>4182.99</v>
      </c>
      <c r="DG11" s="483">
        <v>4182.99</v>
      </c>
      <c r="DH11" s="482">
        <v>4182.99</v>
      </c>
      <c r="DI11" s="483">
        <v>4182.99</v>
      </c>
      <c r="DJ11" s="482">
        <v>4182.99</v>
      </c>
      <c r="DK11" s="483">
        <v>4182.99</v>
      </c>
      <c r="DS11" s="789">
        <f>'[11]смета наша'!L77-операционные!BX14</f>
        <v>-94971.090587588755</v>
      </c>
      <c r="DT11" s="790"/>
      <c r="DU11" s="790"/>
      <c r="DV11" s="790"/>
      <c r="DW11" s="790"/>
      <c r="DX11" s="790"/>
      <c r="DY11" s="790"/>
      <c r="DZ11" s="790"/>
      <c r="EA11" s="790"/>
      <c r="EB11" s="790"/>
      <c r="EC11" s="790"/>
      <c r="ED11" s="790"/>
      <c r="EE11" s="790"/>
      <c r="EF11" s="790"/>
      <c r="EG11" s="790"/>
      <c r="EH11" s="790"/>
      <c r="EI11" s="790"/>
      <c r="EJ11" s="790"/>
      <c r="EK11" s="790"/>
      <c r="EL11" s="790"/>
      <c r="EM11" s="790"/>
      <c r="EN11" s="790"/>
      <c r="EO11" s="790"/>
      <c r="EP11" s="790"/>
      <c r="EQ11" s="790"/>
      <c r="ER11" s="790"/>
      <c r="ES11" s="790"/>
      <c r="ET11" s="790"/>
      <c r="EU11" s="790"/>
      <c r="EV11" s="790"/>
      <c r="EW11" s="790"/>
      <c r="EX11" s="790"/>
      <c r="EY11" s="790"/>
      <c r="EZ11" s="790"/>
      <c r="FA11" s="790"/>
      <c r="FB11" s="790"/>
      <c r="FC11" s="790"/>
      <c r="FD11" s="790"/>
      <c r="FE11" s="790"/>
      <c r="FF11" s="790"/>
      <c r="FG11" s="790"/>
      <c r="FH11" s="790"/>
      <c r="FI11" s="790"/>
      <c r="FJ11" s="790"/>
      <c r="FK11" s="790"/>
      <c r="FL11" s="790"/>
      <c r="FM11" s="790"/>
      <c r="FN11" s="790"/>
      <c r="FO11" s="790"/>
      <c r="FP11" s="790"/>
      <c r="FQ11" s="790"/>
      <c r="FR11" s="790"/>
      <c r="FT11" s="789">
        <f>'[11]смета наша'!L49-операционные!DS11</f>
        <v>96177.643227588749</v>
      </c>
      <c r="FU11" s="790"/>
      <c r="FV11" s="790"/>
      <c r="FW11" s="790"/>
      <c r="FX11" s="790"/>
      <c r="FY11" s="790"/>
      <c r="FZ11" s="790"/>
      <c r="GA11" s="790"/>
      <c r="GB11" s="790"/>
      <c r="GC11" s="790"/>
      <c r="GD11" s="790"/>
      <c r="GE11" s="790"/>
      <c r="GF11" s="790"/>
      <c r="GG11" s="790"/>
      <c r="GH11" s="790"/>
      <c r="GI11" s="790"/>
      <c r="GJ11" s="790"/>
      <c r="GK11" s="790"/>
      <c r="GL11" s="790"/>
      <c r="GM11" s="790"/>
      <c r="GN11" s="790"/>
      <c r="GO11" s="790"/>
      <c r="GP11" s="790"/>
      <c r="GQ11" s="790"/>
      <c r="GR11" s="790"/>
      <c r="GS11" s="790"/>
      <c r="GT11" s="790"/>
      <c r="GU11" s="790"/>
      <c r="GV11" s="790"/>
      <c r="GW11" s="790"/>
      <c r="GX11" s="790"/>
      <c r="GY11" s="790"/>
      <c r="GZ11" s="790"/>
      <c r="HA11" s="790"/>
      <c r="HB11" s="790"/>
      <c r="HC11" s="790"/>
      <c r="HD11" s="790"/>
      <c r="HE11" s="790"/>
      <c r="HF11" s="790"/>
      <c r="HG11" s="790"/>
      <c r="HH11" s="790"/>
      <c r="HI11" s="790"/>
      <c r="HJ11" s="790"/>
      <c r="HK11" s="790"/>
    </row>
    <row r="12" spans="1:219" ht="30" customHeight="1">
      <c r="A12" s="782" t="s">
        <v>290</v>
      </c>
      <c r="B12" s="782"/>
      <c r="C12" s="782"/>
      <c r="D12" s="782"/>
      <c r="E12" s="782"/>
      <c r="F12" s="782"/>
      <c r="G12" s="782"/>
      <c r="H12" s="484"/>
      <c r="I12" s="783" t="s">
        <v>291</v>
      </c>
      <c r="J12" s="783"/>
      <c r="K12" s="783"/>
      <c r="L12" s="783"/>
      <c r="M12" s="783"/>
      <c r="N12" s="783"/>
      <c r="O12" s="783"/>
      <c r="P12" s="783"/>
      <c r="Q12" s="783"/>
      <c r="R12" s="783"/>
      <c r="S12" s="783"/>
      <c r="T12" s="783"/>
      <c r="U12" s="783"/>
      <c r="V12" s="783"/>
      <c r="W12" s="783"/>
      <c r="X12" s="783"/>
      <c r="Y12" s="783"/>
      <c r="Z12" s="783"/>
      <c r="AA12" s="783"/>
      <c r="AB12" s="783"/>
      <c r="AC12" s="783"/>
      <c r="AD12" s="783"/>
      <c r="AE12" s="783"/>
      <c r="AF12" s="783"/>
      <c r="AG12" s="783"/>
      <c r="AH12" s="783"/>
      <c r="AI12" s="783"/>
      <c r="AJ12" s="783"/>
      <c r="AK12" s="783"/>
      <c r="AL12" s="783"/>
      <c r="AM12" s="783"/>
      <c r="AN12" s="783"/>
      <c r="AO12" s="783"/>
      <c r="AP12" s="783"/>
      <c r="AQ12" s="783"/>
      <c r="AR12" s="783"/>
      <c r="AS12" s="783"/>
      <c r="AT12" s="783"/>
      <c r="AU12" s="783"/>
      <c r="AV12" s="783"/>
      <c r="AW12" s="783"/>
      <c r="AX12" s="783"/>
      <c r="AY12" s="783"/>
      <c r="AZ12" s="784"/>
      <c r="BA12" s="485"/>
      <c r="BB12" s="777" t="s">
        <v>292</v>
      </c>
      <c r="BC12" s="777"/>
      <c r="BD12" s="777"/>
      <c r="BE12" s="777"/>
      <c r="BF12" s="777"/>
      <c r="BG12" s="777"/>
      <c r="BH12" s="777"/>
      <c r="BI12" s="777"/>
      <c r="BJ12" s="777"/>
      <c r="BK12" s="777"/>
      <c r="BL12" s="777"/>
      <c r="BM12" s="778"/>
      <c r="BN12" s="779">
        <v>79.849999999999994</v>
      </c>
      <c r="BO12" s="780"/>
      <c r="BP12" s="780"/>
      <c r="BQ12" s="780"/>
      <c r="BR12" s="780"/>
      <c r="BS12" s="780"/>
      <c r="BT12" s="780"/>
      <c r="BU12" s="780"/>
      <c r="BV12" s="780"/>
      <c r="BW12" s="781"/>
      <c r="BX12" s="779">
        <v>79.849999999999994</v>
      </c>
      <c r="BY12" s="780"/>
      <c r="BZ12" s="780"/>
      <c r="CA12" s="780"/>
      <c r="CB12" s="780"/>
      <c r="CC12" s="780"/>
      <c r="CD12" s="780"/>
      <c r="CE12" s="780"/>
      <c r="CF12" s="780"/>
      <c r="CG12" s="781"/>
      <c r="CH12" s="779">
        <v>79.849999999999994</v>
      </c>
      <c r="CI12" s="780"/>
      <c r="CJ12" s="780"/>
      <c r="CK12" s="780"/>
      <c r="CL12" s="780"/>
      <c r="CM12" s="780"/>
      <c r="CN12" s="780"/>
      <c r="CO12" s="780"/>
      <c r="CP12" s="780"/>
      <c r="CQ12" s="781"/>
      <c r="CR12" s="779"/>
      <c r="CS12" s="780"/>
      <c r="CT12" s="780"/>
      <c r="CU12" s="780"/>
      <c r="CV12" s="780"/>
      <c r="CW12" s="780"/>
      <c r="CX12" s="780"/>
      <c r="CY12" s="780"/>
      <c r="CZ12" s="780"/>
      <c r="DA12" s="781"/>
      <c r="DB12" s="482">
        <v>308.82</v>
      </c>
      <c r="DC12" s="483">
        <v>308.82</v>
      </c>
      <c r="DD12" s="482">
        <v>308.82</v>
      </c>
      <c r="DE12" s="483">
        <v>308.82</v>
      </c>
      <c r="DF12" s="482">
        <v>308.82</v>
      </c>
      <c r="DG12" s="483">
        <v>308.82</v>
      </c>
      <c r="DH12" s="482">
        <v>308.82</v>
      </c>
      <c r="DI12" s="483">
        <v>308.82</v>
      </c>
      <c r="DJ12" s="482">
        <v>308.82</v>
      </c>
      <c r="DK12" s="483">
        <v>308.82</v>
      </c>
    </row>
    <row r="13" spans="1:219" ht="30" customHeight="1">
      <c r="A13" s="782" t="s">
        <v>293</v>
      </c>
      <c r="B13" s="782"/>
      <c r="C13" s="782"/>
      <c r="D13" s="782"/>
      <c r="E13" s="782"/>
      <c r="F13" s="782"/>
      <c r="G13" s="782"/>
      <c r="H13" s="484"/>
      <c r="I13" s="783" t="s">
        <v>294</v>
      </c>
      <c r="J13" s="783"/>
      <c r="K13" s="783"/>
      <c r="L13" s="783"/>
      <c r="M13" s="783"/>
      <c r="N13" s="783"/>
      <c r="O13" s="783"/>
      <c r="P13" s="783"/>
      <c r="Q13" s="783"/>
      <c r="R13" s="783"/>
      <c r="S13" s="783"/>
      <c r="T13" s="783"/>
      <c r="U13" s="783"/>
      <c r="V13" s="783"/>
      <c r="W13" s="783"/>
      <c r="X13" s="783"/>
      <c r="Y13" s="783"/>
      <c r="Z13" s="783"/>
      <c r="AA13" s="783"/>
      <c r="AB13" s="783"/>
      <c r="AC13" s="783"/>
      <c r="AD13" s="783"/>
      <c r="AE13" s="783"/>
      <c r="AF13" s="783"/>
      <c r="AG13" s="783"/>
      <c r="AH13" s="783"/>
      <c r="AI13" s="783"/>
      <c r="AJ13" s="783"/>
      <c r="AK13" s="783"/>
      <c r="AL13" s="783"/>
      <c r="AM13" s="783"/>
      <c r="AN13" s="783"/>
      <c r="AO13" s="783"/>
      <c r="AP13" s="783"/>
      <c r="AQ13" s="783"/>
      <c r="AR13" s="783"/>
      <c r="AS13" s="783"/>
      <c r="AT13" s="783"/>
      <c r="AU13" s="783"/>
      <c r="AV13" s="783"/>
      <c r="AW13" s="783"/>
      <c r="AX13" s="783"/>
      <c r="AY13" s="783"/>
      <c r="AZ13" s="784"/>
      <c r="BA13" s="485"/>
      <c r="BB13" s="777"/>
      <c r="BC13" s="777"/>
      <c r="BD13" s="777"/>
      <c r="BE13" s="777"/>
      <c r="BF13" s="777"/>
      <c r="BG13" s="777"/>
      <c r="BH13" s="777"/>
      <c r="BI13" s="777"/>
      <c r="BJ13" s="777"/>
      <c r="BK13" s="777"/>
      <c r="BL13" s="777"/>
      <c r="BM13" s="778"/>
      <c r="BN13" s="779"/>
      <c r="BO13" s="780"/>
      <c r="BP13" s="780"/>
      <c r="BQ13" s="780"/>
      <c r="BR13" s="780"/>
      <c r="BS13" s="780"/>
      <c r="BT13" s="780"/>
      <c r="BU13" s="780"/>
      <c r="BV13" s="780"/>
      <c r="BW13" s="781"/>
      <c r="BX13" s="779">
        <v>0.75</v>
      </c>
      <c r="BY13" s="780"/>
      <c r="BZ13" s="780"/>
      <c r="CA13" s="780"/>
      <c r="CB13" s="780"/>
      <c r="CC13" s="780"/>
      <c r="CD13" s="780"/>
      <c r="CE13" s="780"/>
      <c r="CF13" s="780"/>
      <c r="CG13" s="781"/>
      <c r="CH13" s="779">
        <v>0.75</v>
      </c>
      <c r="CI13" s="780"/>
      <c r="CJ13" s="780"/>
      <c r="CK13" s="780"/>
      <c r="CL13" s="780"/>
      <c r="CM13" s="780"/>
      <c r="CN13" s="780"/>
      <c r="CO13" s="780"/>
      <c r="CP13" s="780"/>
      <c r="CQ13" s="781"/>
      <c r="CR13" s="779"/>
      <c r="CS13" s="780"/>
      <c r="CT13" s="780"/>
      <c r="CU13" s="780"/>
      <c r="CV13" s="780"/>
      <c r="CW13" s="780"/>
      <c r="CX13" s="780"/>
      <c r="CY13" s="780"/>
      <c r="CZ13" s="780"/>
      <c r="DA13" s="781"/>
      <c r="DB13" s="482">
        <v>0.75</v>
      </c>
      <c r="DC13" s="483">
        <v>0.75</v>
      </c>
      <c r="DD13" s="482">
        <v>0.75</v>
      </c>
      <c r="DE13" s="483">
        <v>0.75</v>
      </c>
      <c r="DF13" s="482">
        <v>0.75</v>
      </c>
      <c r="DG13" s="483">
        <v>0.75</v>
      </c>
      <c r="DH13" s="482">
        <v>0.75</v>
      </c>
      <c r="DI13" s="483">
        <v>0.75</v>
      </c>
      <c r="DJ13" s="482">
        <v>0.75</v>
      </c>
      <c r="DK13" s="483">
        <v>0.75</v>
      </c>
    </row>
    <row r="14" spans="1:219" ht="30" customHeight="1">
      <c r="A14" s="782" t="s">
        <v>295</v>
      </c>
      <c r="B14" s="782"/>
      <c r="C14" s="782"/>
      <c r="D14" s="782"/>
      <c r="E14" s="782"/>
      <c r="F14" s="782"/>
      <c r="G14" s="782"/>
      <c r="H14" s="484"/>
      <c r="I14" s="783" t="s">
        <v>296</v>
      </c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791"/>
      <c r="AK14" s="791"/>
      <c r="AL14" s="791"/>
      <c r="AM14" s="791"/>
      <c r="AN14" s="791"/>
      <c r="AO14" s="791"/>
      <c r="AP14" s="791"/>
      <c r="AQ14" s="791"/>
      <c r="AR14" s="791"/>
      <c r="AS14" s="791"/>
      <c r="AT14" s="791"/>
      <c r="AU14" s="791"/>
      <c r="AV14" s="791"/>
      <c r="AW14" s="791"/>
      <c r="AX14" s="791"/>
      <c r="AY14" s="791"/>
      <c r="AZ14" s="792"/>
      <c r="BA14" s="485"/>
      <c r="BB14" s="793" t="s">
        <v>123</v>
      </c>
      <c r="BC14" s="793"/>
      <c r="BD14" s="793"/>
      <c r="BE14" s="793"/>
      <c r="BF14" s="793"/>
      <c r="BG14" s="793"/>
      <c r="BH14" s="793"/>
      <c r="BI14" s="793"/>
      <c r="BJ14" s="793"/>
      <c r="BK14" s="793"/>
      <c r="BL14" s="793"/>
      <c r="BM14" s="794"/>
      <c r="BN14" s="795">
        <f>'[12]МУП ЖКУ'!M82</f>
        <v>93143.944940864792</v>
      </c>
      <c r="BO14" s="796"/>
      <c r="BP14" s="796"/>
      <c r="BQ14" s="796"/>
      <c r="BR14" s="796"/>
      <c r="BS14" s="796"/>
      <c r="BT14" s="796"/>
      <c r="BU14" s="796"/>
      <c r="BV14" s="796"/>
      <c r="BW14" s="797"/>
      <c r="BX14" s="795">
        <f>BN14*(1-BX9/100)*(1+BX8)*(1+BX13*BX10)</f>
        <v>96177.643227588749</v>
      </c>
      <c r="BY14" s="796"/>
      <c r="BZ14" s="796"/>
      <c r="CA14" s="796"/>
      <c r="CB14" s="796"/>
      <c r="CC14" s="796"/>
      <c r="CD14" s="796"/>
      <c r="CE14" s="796"/>
      <c r="CF14" s="796"/>
      <c r="CG14" s="797"/>
      <c r="CH14" s="795">
        <f>BX14*(1-CH9/100)*(1+CH8)*(1+CH13*CH10)</f>
        <v>99310.149067511302</v>
      </c>
      <c r="CI14" s="796"/>
      <c r="CJ14" s="796"/>
      <c r="CK14" s="796"/>
      <c r="CL14" s="796"/>
      <c r="CM14" s="796"/>
      <c r="CN14" s="796"/>
      <c r="CO14" s="796"/>
      <c r="CP14" s="796"/>
      <c r="CQ14" s="797"/>
      <c r="CR14" s="779"/>
      <c r="CS14" s="780"/>
      <c r="CT14" s="780"/>
      <c r="CU14" s="780"/>
      <c r="CV14" s="780"/>
      <c r="CW14" s="780"/>
      <c r="CX14" s="780"/>
      <c r="CY14" s="780"/>
      <c r="CZ14" s="780"/>
      <c r="DA14" s="781"/>
      <c r="DB14" s="482">
        <f>CH14*(1-DB9/100)*(1+DB8)*(1+DB13*DB10)</f>
        <v>103724.48519356218</v>
      </c>
      <c r="DC14" s="483">
        <f t="shared" ref="DC14:DK14" si="0">DB14*(1-DC9/100)*(1+DC8)*(1+DC13*DC10)</f>
        <v>108335.03856041601</v>
      </c>
      <c r="DD14" s="483">
        <f t="shared" si="0"/>
        <v>113150.5310244265</v>
      </c>
      <c r="DE14" s="483">
        <f t="shared" si="0"/>
        <v>118180.07212846226</v>
      </c>
      <c r="DF14" s="483">
        <f t="shared" si="0"/>
        <v>123433.17633457239</v>
      </c>
      <c r="DG14" s="483">
        <f t="shared" si="0"/>
        <v>128919.78102264412</v>
      </c>
      <c r="DH14" s="483">
        <f t="shared" si="0"/>
        <v>134650.26528910064</v>
      </c>
      <c r="DI14" s="483">
        <f t="shared" si="0"/>
        <v>140635.46958120115</v>
      </c>
      <c r="DJ14" s="483">
        <f t="shared" si="0"/>
        <v>146886.71620408553</v>
      </c>
      <c r="DK14" s="483">
        <f t="shared" si="0"/>
        <v>153415.83073935713</v>
      </c>
    </row>
    <row r="15" spans="1:219" ht="28.5" customHeight="1">
      <c r="BX15" s="800" t="s">
        <v>297</v>
      </c>
      <c r="BY15" s="800"/>
      <c r="BZ15" s="800"/>
      <c r="CA15" s="800"/>
      <c r="CB15" s="800"/>
      <c r="CC15" s="800"/>
      <c r="CD15" s="800"/>
      <c r="CE15" s="800"/>
      <c r="CF15" s="800"/>
      <c r="CG15" s="800"/>
      <c r="CH15" s="800"/>
      <c r="CI15" s="800"/>
      <c r="CJ15" s="800"/>
      <c r="CK15" s="800"/>
      <c r="CL15" s="800"/>
      <c r="CM15" s="800"/>
      <c r="CN15" s="800"/>
      <c r="CO15" s="800"/>
      <c r="CP15" s="800"/>
      <c r="CQ15" s="800"/>
    </row>
    <row r="16" spans="1:219" ht="15">
      <c r="A16" s="801" t="s">
        <v>298</v>
      </c>
      <c r="B16" s="801"/>
      <c r="C16" s="801"/>
      <c r="D16" s="801"/>
      <c r="E16" s="801"/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801"/>
      <c r="S16" s="801"/>
      <c r="T16" s="801"/>
      <c r="U16" s="801"/>
      <c r="BX16" s="802">
        <f>BX14/BN14</f>
        <v>1.03257</v>
      </c>
      <c r="BY16" s="802"/>
      <c r="BZ16" s="802"/>
      <c r="CA16" s="802"/>
      <c r="CB16" s="802"/>
      <c r="CC16" s="802"/>
      <c r="CD16" s="802"/>
      <c r="CE16" s="802"/>
      <c r="CF16" s="802"/>
      <c r="CG16" s="802"/>
      <c r="CH16" s="802">
        <f>CH14/BX14</f>
        <v>1.0325699999999998</v>
      </c>
      <c r="CI16" s="802"/>
      <c r="CJ16" s="802"/>
      <c r="CK16" s="802"/>
      <c r="CL16" s="802"/>
      <c r="CM16" s="802"/>
      <c r="CN16" s="802"/>
      <c r="CO16" s="802"/>
      <c r="CP16" s="802"/>
      <c r="CQ16" s="802"/>
      <c r="CR16" s="790"/>
      <c r="CS16" s="790"/>
      <c r="CT16" s="790"/>
      <c r="CU16" s="790"/>
      <c r="CV16" s="790"/>
      <c r="CW16" s="790"/>
      <c r="CX16" s="790"/>
      <c r="CY16" s="790"/>
      <c r="CZ16" s="790"/>
      <c r="DA16" s="790"/>
      <c r="DB16" s="476">
        <f>DB14/CH14</f>
        <v>1.0444500000000001</v>
      </c>
      <c r="DC16" s="475">
        <f>DC14/DB14</f>
        <v>1.0444499999999999</v>
      </c>
      <c r="DD16" s="475">
        <f t="shared" ref="DD16:DK16" si="1">DD14/DC14</f>
        <v>1.0444499999999999</v>
      </c>
      <c r="DE16" s="475">
        <f t="shared" si="1"/>
        <v>1.0444500000000001</v>
      </c>
      <c r="DF16" s="475">
        <f t="shared" si="1"/>
        <v>1.0444499999999999</v>
      </c>
      <c r="DG16" s="475">
        <f t="shared" si="1"/>
        <v>1.0444499999999999</v>
      </c>
      <c r="DH16" s="475">
        <f t="shared" si="1"/>
        <v>1.0444499999999999</v>
      </c>
      <c r="DI16" s="475">
        <f t="shared" si="1"/>
        <v>1.0444499999999999</v>
      </c>
      <c r="DJ16" s="475">
        <f t="shared" si="1"/>
        <v>1.0444499999999999</v>
      </c>
      <c r="DK16" s="486">
        <f t="shared" si="1"/>
        <v>1.0444499999999999</v>
      </c>
    </row>
    <row r="17" spans="1:115" s="479" customFormat="1" ht="36.75" customHeight="1">
      <c r="A17" s="798" t="s">
        <v>299</v>
      </c>
      <c r="B17" s="799"/>
      <c r="C17" s="799"/>
      <c r="D17" s="799"/>
      <c r="E17" s="799"/>
      <c r="F17" s="799"/>
      <c r="G17" s="799"/>
      <c r="H17" s="799"/>
      <c r="I17" s="799"/>
      <c r="J17" s="799"/>
      <c r="K17" s="799"/>
      <c r="L17" s="799"/>
      <c r="M17" s="799"/>
      <c r="N17" s="799"/>
      <c r="O17" s="799"/>
      <c r="P17" s="799"/>
      <c r="Q17" s="799"/>
      <c r="R17" s="799"/>
      <c r="S17" s="799"/>
      <c r="T17" s="799"/>
      <c r="U17" s="799"/>
      <c r="V17" s="799"/>
      <c r="W17" s="799"/>
      <c r="X17" s="799"/>
      <c r="Y17" s="799"/>
      <c r="Z17" s="799"/>
      <c r="AA17" s="799"/>
      <c r="AB17" s="799"/>
      <c r="AC17" s="799"/>
      <c r="AD17" s="799"/>
      <c r="AE17" s="799"/>
      <c r="AF17" s="799"/>
      <c r="AG17" s="799"/>
      <c r="AH17" s="799"/>
      <c r="AI17" s="799"/>
      <c r="AJ17" s="799"/>
      <c r="AK17" s="799"/>
      <c r="AL17" s="799"/>
      <c r="AM17" s="799"/>
      <c r="AN17" s="799"/>
      <c r="AO17" s="799"/>
      <c r="AP17" s="799"/>
      <c r="AQ17" s="799"/>
      <c r="AR17" s="799"/>
      <c r="AS17" s="799"/>
      <c r="AT17" s="799"/>
      <c r="AU17" s="799"/>
      <c r="AV17" s="799"/>
      <c r="AW17" s="799"/>
      <c r="AX17" s="799"/>
      <c r="AY17" s="799"/>
      <c r="AZ17" s="799"/>
      <c r="BA17" s="799"/>
      <c r="BB17" s="799"/>
      <c r="BC17" s="799"/>
      <c r="BD17" s="799"/>
      <c r="BE17" s="799"/>
      <c r="BF17" s="799"/>
      <c r="BG17" s="799"/>
      <c r="BH17" s="799"/>
      <c r="BI17" s="799"/>
      <c r="BJ17" s="799"/>
      <c r="BK17" s="799"/>
      <c r="BL17" s="799"/>
      <c r="BM17" s="799"/>
      <c r="BN17" s="799"/>
      <c r="BO17" s="799"/>
      <c r="BP17" s="799"/>
      <c r="BQ17" s="799"/>
      <c r="BR17" s="799"/>
      <c r="BS17" s="799"/>
      <c r="BT17" s="799"/>
      <c r="BU17" s="799"/>
      <c r="BV17" s="799"/>
      <c r="BW17" s="799"/>
      <c r="BX17" s="799"/>
      <c r="BY17" s="799"/>
      <c r="BZ17" s="799"/>
      <c r="CA17" s="799"/>
      <c r="CB17" s="799"/>
      <c r="CC17" s="799"/>
      <c r="CD17" s="799"/>
      <c r="CE17" s="799"/>
      <c r="CF17" s="799"/>
      <c r="CG17" s="799"/>
      <c r="CH17" s="799"/>
      <c r="CI17" s="799"/>
      <c r="CJ17" s="799"/>
      <c r="CK17" s="799"/>
      <c r="CL17" s="799"/>
      <c r="CM17" s="799"/>
      <c r="CN17" s="799"/>
      <c r="CO17" s="799"/>
      <c r="CP17" s="799"/>
      <c r="CQ17" s="799"/>
      <c r="CR17" s="799"/>
      <c r="CS17" s="799"/>
      <c r="CT17" s="799"/>
      <c r="CU17" s="799"/>
      <c r="CV17" s="799"/>
      <c r="CW17" s="799"/>
      <c r="CX17" s="799"/>
      <c r="CY17" s="799"/>
      <c r="CZ17" s="799"/>
      <c r="DA17" s="799"/>
      <c r="DK17" s="487"/>
    </row>
    <row r="18" spans="1:115" s="479" customFormat="1" ht="99" customHeight="1">
      <c r="A18" s="798" t="s">
        <v>300</v>
      </c>
      <c r="B18" s="799"/>
      <c r="C18" s="799"/>
      <c r="D18" s="799"/>
      <c r="E18" s="799"/>
      <c r="F18" s="799"/>
      <c r="G18" s="799"/>
      <c r="H18" s="799"/>
      <c r="I18" s="799"/>
      <c r="J18" s="799"/>
      <c r="K18" s="799"/>
      <c r="L18" s="799"/>
      <c r="M18" s="799"/>
      <c r="N18" s="799"/>
      <c r="O18" s="799"/>
      <c r="P18" s="799"/>
      <c r="Q18" s="799"/>
      <c r="R18" s="799"/>
      <c r="S18" s="799"/>
      <c r="T18" s="799"/>
      <c r="U18" s="799"/>
      <c r="V18" s="799"/>
      <c r="W18" s="799"/>
      <c r="X18" s="799"/>
      <c r="Y18" s="799"/>
      <c r="Z18" s="799"/>
      <c r="AA18" s="799"/>
      <c r="AB18" s="799"/>
      <c r="AC18" s="799"/>
      <c r="AD18" s="799"/>
      <c r="AE18" s="799"/>
      <c r="AF18" s="799"/>
      <c r="AG18" s="799"/>
      <c r="AH18" s="799"/>
      <c r="AI18" s="799"/>
      <c r="AJ18" s="799"/>
      <c r="AK18" s="799"/>
      <c r="AL18" s="799"/>
      <c r="AM18" s="799"/>
      <c r="AN18" s="799"/>
      <c r="AO18" s="799"/>
      <c r="AP18" s="799"/>
      <c r="AQ18" s="799"/>
      <c r="AR18" s="799"/>
      <c r="AS18" s="799"/>
      <c r="AT18" s="799"/>
      <c r="AU18" s="799"/>
      <c r="AV18" s="799"/>
      <c r="AW18" s="799"/>
      <c r="AX18" s="799"/>
      <c r="AY18" s="799"/>
      <c r="AZ18" s="799"/>
      <c r="BA18" s="799"/>
      <c r="BB18" s="799"/>
      <c r="BC18" s="799"/>
      <c r="BD18" s="799"/>
      <c r="BE18" s="799"/>
      <c r="BF18" s="799"/>
      <c r="BG18" s="799"/>
      <c r="BH18" s="799"/>
      <c r="BI18" s="799"/>
      <c r="BJ18" s="799"/>
      <c r="BK18" s="799"/>
      <c r="BL18" s="799"/>
      <c r="BM18" s="799"/>
      <c r="BN18" s="799"/>
      <c r="BO18" s="799"/>
      <c r="BP18" s="799"/>
      <c r="BQ18" s="799"/>
      <c r="BR18" s="799"/>
      <c r="BS18" s="799"/>
      <c r="BT18" s="799"/>
      <c r="BU18" s="799"/>
      <c r="BV18" s="799"/>
      <c r="BW18" s="799"/>
      <c r="BX18" s="799"/>
      <c r="BY18" s="799"/>
      <c r="BZ18" s="799"/>
      <c r="CA18" s="799"/>
      <c r="CB18" s="799"/>
      <c r="CC18" s="799"/>
      <c r="CD18" s="799"/>
      <c r="CE18" s="799"/>
      <c r="CF18" s="799"/>
      <c r="CG18" s="799"/>
      <c r="CH18" s="799"/>
      <c r="CI18" s="799"/>
      <c r="CJ18" s="799"/>
      <c r="CK18" s="799"/>
      <c r="CL18" s="799"/>
      <c r="CM18" s="799"/>
      <c r="CN18" s="799"/>
      <c r="CO18" s="799"/>
      <c r="CP18" s="799"/>
      <c r="CQ18" s="799"/>
      <c r="CR18" s="799"/>
      <c r="CS18" s="799"/>
      <c r="CT18" s="799"/>
      <c r="CU18" s="799"/>
      <c r="CV18" s="799"/>
      <c r="CW18" s="799"/>
      <c r="CX18" s="799"/>
      <c r="CY18" s="799"/>
      <c r="CZ18" s="799"/>
      <c r="DA18" s="799"/>
      <c r="DK18" s="487"/>
    </row>
    <row r="19" spans="1:115" s="479" customFormat="1" ht="34.5" customHeight="1">
      <c r="A19" s="798" t="s">
        <v>301</v>
      </c>
      <c r="B19" s="799"/>
      <c r="C19" s="799"/>
      <c r="D19" s="799"/>
      <c r="E19" s="799"/>
      <c r="F19" s="799"/>
      <c r="G19" s="799"/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799"/>
      <c r="AL19" s="799"/>
      <c r="AM19" s="799"/>
      <c r="AN19" s="799"/>
      <c r="AO19" s="799"/>
      <c r="AP19" s="799"/>
      <c r="AQ19" s="799"/>
      <c r="AR19" s="799"/>
      <c r="AS19" s="799"/>
      <c r="AT19" s="799"/>
      <c r="AU19" s="799"/>
      <c r="AV19" s="799"/>
      <c r="AW19" s="799"/>
      <c r="AX19" s="799"/>
      <c r="AY19" s="799"/>
      <c r="AZ19" s="799"/>
      <c r="BA19" s="799"/>
      <c r="BB19" s="799"/>
      <c r="BC19" s="799"/>
      <c r="BD19" s="799"/>
      <c r="BE19" s="799"/>
      <c r="BF19" s="799"/>
      <c r="BG19" s="799"/>
      <c r="BH19" s="799"/>
      <c r="BI19" s="799"/>
      <c r="BJ19" s="799"/>
      <c r="BK19" s="799"/>
      <c r="BL19" s="799"/>
      <c r="BM19" s="799"/>
      <c r="BN19" s="799"/>
      <c r="BO19" s="799"/>
      <c r="BP19" s="799"/>
      <c r="BQ19" s="799"/>
      <c r="BR19" s="799"/>
      <c r="BS19" s="799"/>
      <c r="BT19" s="799"/>
      <c r="BU19" s="799"/>
      <c r="BV19" s="799"/>
      <c r="BW19" s="799"/>
      <c r="BX19" s="799"/>
      <c r="BY19" s="799"/>
      <c r="BZ19" s="799"/>
      <c r="CA19" s="799"/>
      <c r="CB19" s="799"/>
      <c r="CC19" s="799"/>
      <c r="CD19" s="799"/>
      <c r="CE19" s="799"/>
      <c r="CF19" s="799"/>
      <c r="CG19" s="799"/>
      <c r="CH19" s="799"/>
      <c r="CI19" s="799"/>
      <c r="CJ19" s="799"/>
      <c r="CK19" s="799"/>
      <c r="CL19" s="799"/>
      <c r="CM19" s="799"/>
      <c r="CN19" s="799"/>
      <c r="CO19" s="799"/>
      <c r="CP19" s="799"/>
      <c r="CQ19" s="799"/>
      <c r="CR19" s="799"/>
      <c r="CS19" s="799"/>
      <c r="CT19" s="799"/>
      <c r="CU19" s="799"/>
      <c r="CV19" s="799"/>
      <c r="CW19" s="799"/>
      <c r="CX19" s="799"/>
      <c r="CY19" s="799"/>
      <c r="CZ19" s="799"/>
      <c r="DA19" s="799"/>
      <c r="DK19" s="487"/>
    </row>
    <row r="20" spans="1:115" s="479" customFormat="1" ht="50.25" customHeight="1">
      <c r="A20" s="798" t="s">
        <v>302</v>
      </c>
      <c r="B20" s="799"/>
      <c r="C20" s="799"/>
      <c r="D20" s="799"/>
      <c r="E20" s="799"/>
      <c r="F20" s="799"/>
      <c r="G20" s="799"/>
      <c r="H20" s="799"/>
      <c r="I20" s="799"/>
      <c r="J20" s="799"/>
      <c r="K20" s="799"/>
      <c r="L20" s="799"/>
      <c r="M20" s="799"/>
      <c r="N20" s="799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799"/>
      <c r="AM20" s="799"/>
      <c r="AN20" s="799"/>
      <c r="AO20" s="799"/>
      <c r="AP20" s="799"/>
      <c r="AQ20" s="799"/>
      <c r="AR20" s="799"/>
      <c r="AS20" s="799"/>
      <c r="AT20" s="799"/>
      <c r="AU20" s="799"/>
      <c r="AV20" s="799"/>
      <c r="AW20" s="799"/>
      <c r="AX20" s="799"/>
      <c r="AY20" s="799"/>
      <c r="AZ20" s="799"/>
      <c r="BA20" s="799"/>
      <c r="BB20" s="799"/>
      <c r="BC20" s="799"/>
      <c r="BD20" s="799"/>
      <c r="BE20" s="799"/>
      <c r="BF20" s="799"/>
      <c r="BG20" s="799"/>
      <c r="BH20" s="799"/>
      <c r="BI20" s="799"/>
      <c r="BJ20" s="799"/>
      <c r="BK20" s="799"/>
      <c r="BL20" s="799"/>
      <c r="BM20" s="799"/>
      <c r="BN20" s="799"/>
      <c r="BO20" s="799"/>
      <c r="BP20" s="799"/>
      <c r="BQ20" s="799"/>
      <c r="BR20" s="799"/>
      <c r="BS20" s="799"/>
      <c r="BT20" s="799"/>
      <c r="BU20" s="799"/>
      <c r="BV20" s="799"/>
      <c r="BW20" s="799"/>
      <c r="BX20" s="799"/>
      <c r="BY20" s="799"/>
      <c r="BZ20" s="799"/>
      <c r="CA20" s="799"/>
      <c r="CB20" s="799"/>
      <c r="CC20" s="799"/>
      <c r="CD20" s="799"/>
      <c r="CE20" s="799"/>
      <c r="CF20" s="799"/>
      <c r="CG20" s="799"/>
      <c r="CH20" s="799"/>
      <c r="CI20" s="799"/>
      <c r="CJ20" s="799"/>
      <c r="CK20" s="799"/>
      <c r="CL20" s="799"/>
      <c r="CM20" s="799"/>
      <c r="CN20" s="799"/>
      <c r="CO20" s="799"/>
      <c r="CP20" s="799"/>
      <c r="CQ20" s="799"/>
      <c r="CR20" s="799"/>
      <c r="CS20" s="799"/>
      <c r="CT20" s="799"/>
      <c r="CU20" s="799"/>
      <c r="CV20" s="799"/>
      <c r="CW20" s="799"/>
      <c r="CX20" s="799"/>
      <c r="CY20" s="799"/>
      <c r="CZ20" s="799"/>
      <c r="DA20" s="799"/>
      <c r="DK20" s="487"/>
    </row>
    <row r="21" spans="1:115" s="479" customFormat="1" ht="3" customHeight="1"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  <c r="AL21" s="487"/>
      <c r="AM21" s="487"/>
      <c r="AN21" s="487"/>
      <c r="AO21" s="487"/>
      <c r="AP21" s="487"/>
      <c r="AQ21" s="487"/>
      <c r="AR21" s="487"/>
      <c r="AS21" s="487"/>
      <c r="AT21" s="487"/>
      <c r="AU21" s="487"/>
      <c r="AV21" s="487"/>
      <c r="AW21" s="487"/>
      <c r="AX21" s="487"/>
      <c r="AY21" s="487"/>
      <c r="AZ21" s="487"/>
      <c r="BA21" s="487"/>
      <c r="BB21" s="487"/>
      <c r="BC21" s="487"/>
      <c r="BD21" s="487"/>
      <c r="BE21" s="487"/>
      <c r="BF21" s="487"/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487"/>
      <c r="BX21" s="487"/>
      <c r="BY21" s="487"/>
      <c r="BZ21" s="487"/>
      <c r="CA21" s="487"/>
      <c r="CB21" s="487"/>
      <c r="CC21" s="487"/>
      <c r="CD21" s="487"/>
      <c r="CE21" s="487"/>
      <c r="CF21" s="487"/>
      <c r="CG21" s="487"/>
      <c r="CH21" s="487"/>
      <c r="CI21" s="487"/>
      <c r="CJ21" s="487"/>
      <c r="CK21" s="487"/>
      <c r="CL21" s="487"/>
      <c r="CM21" s="487"/>
      <c r="CN21" s="487"/>
      <c r="CO21" s="487"/>
      <c r="CP21" s="487"/>
      <c r="CQ21" s="487"/>
      <c r="CR21" s="487"/>
      <c r="CS21" s="487"/>
      <c r="CT21" s="487"/>
      <c r="CU21" s="487"/>
      <c r="CV21" s="487"/>
      <c r="CW21" s="487"/>
      <c r="CX21" s="487"/>
      <c r="CY21" s="487"/>
      <c r="CZ21" s="487"/>
      <c r="DA21" s="487"/>
      <c r="DK21" s="487"/>
    </row>
  </sheetData>
  <mergeCells count="77">
    <mergeCell ref="A18:DA18"/>
    <mergeCell ref="A19:DA19"/>
    <mergeCell ref="A20:DA20"/>
    <mergeCell ref="BX15:CQ15"/>
    <mergeCell ref="A16:U16"/>
    <mergeCell ref="BX16:CG16"/>
    <mergeCell ref="CH16:CQ16"/>
    <mergeCell ref="CR16:DA16"/>
    <mergeCell ref="A17:DA17"/>
    <mergeCell ref="CR13:DA13"/>
    <mergeCell ref="A14:G14"/>
    <mergeCell ref="I14:AZ14"/>
    <mergeCell ref="BB14:BM14"/>
    <mergeCell ref="BN14:BW14"/>
    <mergeCell ref="BX14:CG14"/>
    <mergeCell ref="CH14:CQ14"/>
    <mergeCell ref="CR14:DA14"/>
    <mergeCell ref="A13:G13"/>
    <mergeCell ref="I13:AZ13"/>
    <mergeCell ref="BB13:BM13"/>
    <mergeCell ref="BN13:BW13"/>
    <mergeCell ref="BX13:CG13"/>
    <mergeCell ref="CH13:CQ13"/>
    <mergeCell ref="CR11:DA11"/>
    <mergeCell ref="DS11:FR11"/>
    <mergeCell ref="FT11:HK11"/>
    <mergeCell ref="A12:G12"/>
    <mergeCell ref="I12:AZ12"/>
    <mergeCell ref="BB12:BM12"/>
    <mergeCell ref="BN12:BW12"/>
    <mergeCell ref="BX12:CG12"/>
    <mergeCell ref="CH12:CQ12"/>
    <mergeCell ref="CR12:DA12"/>
    <mergeCell ref="A11:G11"/>
    <mergeCell ref="I11:AZ11"/>
    <mergeCell ref="BB11:BM11"/>
    <mergeCell ref="BN11:BW11"/>
    <mergeCell ref="BX11:CG11"/>
    <mergeCell ref="CH11:CQ11"/>
    <mergeCell ref="CR9:DA9"/>
    <mergeCell ref="A10:G10"/>
    <mergeCell ref="I10:AZ10"/>
    <mergeCell ref="BB10:BM10"/>
    <mergeCell ref="BN10:BW10"/>
    <mergeCell ref="BX10:CG10"/>
    <mergeCell ref="CH10:CQ10"/>
    <mergeCell ref="CR10:DA10"/>
    <mergeCell ref="A9:G9"/>
    <mergeCell ref="I9:AZ9"/>
    <mergeCell ref="BB9:BM9"/>
    <mergeCell ref="BN9:BW9"/>
    <mergeCell ref="BX9:CG9"/>
    <mergeCell ref="CH9:CQ9"/>
    <mergeCell ref="CR7:DA7"/>
    <mergeCell ref="A8:G8"/>
    <mergeCell ref="I8:AZ8"/>
    <mergeCell ref="BB8:BM8"/>
    <mergeCell ref="BN8:BW8"/>
    <mergeCell ref="BX8:CG8"/>
    <mergeCell ref="CH8:CQ8"/>
    <mergeCell ref="CR8:DA8"/>
    <mergeCell ref="A7:G7"/>
    <mergeCell ref="H7:AZ7"/>
    <mergeCell ref="BA7:BM7"/>
    <mergeCell ref="BN7:BW7"/>
    <mergeCell ref="BX7:CG7"/>
    <mergeCell ref="CH7:CQ7"/>
    <mergeCell ref="BX1:CQ2"/>
    <mergeCell ref="A3:DA3"/>
    <mergeCell ref="A5:G6"/>
    <mergeCell ref="H5:AZ6"/>
    <mergeCell ref="BA5:BM6"/>
    <mergeCell ref="BN5:DK5"/>
    <mergeCell ref="BN6:BW6"/>
    <mergeCell ref="BX6:CG6"/>
    <mergeCell ref="CH6:CQ6"/>
    <mergeCell ref="CR6:DA6"/>
  </mergeCells>
  <pageMargins left="0.78740157480314965" right="0.51181102362204722" top="0.59055118110236227" bottom="0.39370078740157483" header="0.19685039370078741" footer="0.19685039370078741"/>
  <pageSetup paperSize="9" scale="4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120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125"/>
  <sheetViews>
    <sheetView view="pageBreakPreview" zoomScale="85" zoomScaleNormal="100" workbookViewId="0">
      <selection activeCell="D12" sqref="D12"/>
    </sheetView>
  </sheetViews>
  <sheetFormatPr defaultRowHeight="12.75"/>
  <cols>
    <col min="1" max="1" width="1.85546875" style="97" customWidth="1"/>
    <col min="2" max="2" width="61.28515625" style="97" customWidth="1"/>
    <col min="3" max="3" width="14.140625" style="97" customWidth="1"/>
    <col min="4" max="4" width="22" style="97" customWidth="1"/>
    <col min="5" max="5" width="11" style="97" hidden="1" customWidth="1"/>
    <col min="6" max="6" width="18.5703125" style="97" hidden="1" customWidth="1"/>
    <col min="7" max="7" width="16.140625" style="97" hidden="1" customWidth="1"/>
    <col min="8" max="8" width="15.5703125" style="97" customWidth="1"/>
    <col min="9" max="9" width="16.28515625" style="97" hidden="1" customWidth="1"/>
    <col min="10" max="10" width="17.42578125" style="97" customWidth="1"/>
    <col min="11" max="11" width="16.28515625" style="97" hidden="1" customWidth="1"/>
    <col min="12" max="12" width="17.140625" style="97" customWidth="1"/>
    <col min="13" max="16" width="9.140625" style="97"/>
    <col min="17" max="17" width="13.28515625" style="97" customWidth="1"/>
    <col min="18" max="18" width="12" style="97" customWidth="1"/>
    <col min="19" max="256" width="9.140625" style="97"/>
    <col min="257" max="257" width="4.5703125" style="97" customWidth="1"/>
    <col min="258" max="258" width="61.28515625" style="97" customWidth="1"/>
    <col min="259" max="259" width="14.140625" style="97" customWidth="1"/>
    <col min="260" max="260" width="22" style="97" customWidth="1"/>
    <col min="261" max="263" width="0" style="97" hidden="1" customWidth="1"/>
    <col min="264" max="264" width="16.42578125" style="97" customWidth="1"/>
    <col min="265" max="265" width="0" style="97" hidden="1" customWidth="1"/>
    <col min="266" max="266" width="17.42578125" style="97" customWidth="1"/>
    <col min="267" max="267" width="0" style="97" hidden="1" customWidth="1"/>
    <col min="268" max="268" width="17.140625" style="97" customWidth="1"/>
    <col min="269" max="272" width="9.140625" style="97"/>
    <col min="273" max="273" width="13.28515625" style="97" customWidth="1"/>
    <col min="274" max="512" width="9.140625" style="97"/>
    <col min="513" max="513" width="4.5703125" style="97" customWidth="1"/>
    <col min="514" max="514" width="61.28515625" style="97" customWidth="1"/>
    <col min="515" max="515" width="14.140625" style="97" customWidth="1"/>
    <col min="516" max="516" width="22" style="97" customWidth="1"/>
    <col min="517" max="519" width="0" style="97" hidden="1" customWidth="1"/>
    <col min="520" max="520" width="16.42578125" style="97" customWidth="1"/>
    <col min="521" max="521" width="0" style="97" hidden="1" customWidth="1"/>
    <col min="522" max="522" width="17.42578125" style="97" customWidth="1"/>
    <col min="523" max="523" width="0" style="97" hidden="1" customWidth="1"/>
    <col min="524" max="524" width="17.140625" style="97" customWidth="1"/>
    <col min="525" max="528" width="9.140625" style="97"/>
    <col min="529" max="529" width="13.28515625" style="97" customWidth="1"/>
    <col min="530" max="768" width="9.140625" style="97"/>
    <col min="769" max="769" width="4.5703125" style="97" customWidth="1"/>
    <col min="770" max="770" width="61.28515625" style="97" customWidth="1"/>
    <col min="771" max="771" width="14.140625" style="97" customWidth="1"/>
    <col min="772" max="772" width="22" style="97" customWidth="1"/>
    <col min="773" max="775" width="0" style="97" hidden="1" customWidth="1"/>
    <col min="776" max="776" width="16.42578125" style="97" customWidth="1"/>
    <col min="777" max="777" width="0" style="97" hidden="1" customWidth="1"/>
    <col min="778" max="778" width="17.42578125" style="97" customWidth="1"/>
    <col min="779" max="779" width="0" style="97" hidden="1" customWidth="1"/>
    <col min="780" max="780" width="17.140625" style="97" customWidth="1"/>
    <col min="781" max="784" width="9.140625" style="97"/>
    <col min="785" max="785" width="13.28515625" style="97" customWidth="1"/>
    <col min="786" max="1024" width="9.140625" style="97"/>
    <col min="1025" max="1025" width="4.5703125" style="97" customWidth="1"/>
    <col min="1026" max="1026" width="61.28515625" style="97" customWidth="1"/>
    <col min="1027" max="1027" width="14.140625" style="97" customWidth="1"/>
    <col min="1028" max="1028" width="22" style="97" customWidth="1"/>
    <col min="1029" max="1031" width="0" style="97" hidden="1" customWidth="1"/>
    <col min="1032" max="1032" width="16.42578125" style="97" customWidth="1"/>
    <col min="1033" max="1033" width="0" style="97" hidden="1" customWidth="1"/>
    <col min="1034" max="1034" width="17.42578125" style="97" customWidth="1"/>
    <col min="1035" max="1035" width="0" style="97" hidden="1" customWidth="1"/>
    <col min="1036" max="1036" width="17.140625" style="97" customWidth="1"/>
    <col min="1037" max="1040" width="9.140625" style="97"/>
    <col min="1041" max="1041" width="13.28515625" style="97" customWidth="1"/>
    <col min="1042" max="1280" width="9.140625" style="97"/>
    <col min="1281" max="1281" width="4.5703125" style="97" customWidth="1"/>
    <col min="1282" max="1282" width="61.28515625" style="97" customWidth="1"/>
    <col min="1283" max="1283" width="14.140625" style="97" customWidth="1"/>
    <col min="1284" max="1284" width="22" style="97" customWidth="1"/>
    <col min="1285" max="1287" width="0" style="97" hidden="1" customWidth="1"/>
    <col min="1288" max="1288" width="16.42578125" style="97" customWidth="1"/>
    <col min="1289" max="1289" width="0" style="97" hidden="1" customWidth="1"/>
    <col min="1290" max="1290" width="17.42578125" style="97" customWidth="1"/>
    <col min="1291" max="1291" width="0" style="97" hidden="1" customWidth="1"/>
    <col min="1292" max="1292" width="17.140625" style="97" customWidth="1"/>
    <col min="1293" max="1296" width="9.140625" style="97"/>
    <col min="1297" max="1297" width="13.28515625" style="97" customWidth="1"/>
    <col min="1298" max="1536" width="9.140625" style="97"/>
    <col min="1537" max="1537" width="4.5703125" style="97" customWidth="1"/>
    <col min="1538" max="1538" width="61.28515625" style="97" customWidth="1"/>
    <col min="1539" max="1539" width="14.140625" style="97" customWidth="1"/>
    <col min="1540" max="1540" width="22" style="97" customWidth="1"/>
    <col min="1541" max="1543" width="0" style="97" hidden="1" customWidth="1"/>
    <col min="1544" max="1544" width="16.42578125" style="97" customWidth="1"/>
    <col min="1545" max="1545" width="0" style="97" hidden="1" customWidth="1"/>
    <col min="1546" max="1546" width="17.42578125" style="97" customWidth="1"/>
    <col min="1547" max="1547" width="0" style="97" hidden="1" customWidth="1"/>
    <col min="1548" max="1548" width="17.140625" style="97" customWidth="1"/>
    <col min="1549" max="1552" width="9.140625" style="97"/>
    <col min="1553" max="1553" width="13.28515625" style="97" customWidth="1"/>
    <col min="1554" max="1792" width="9.140625" style="97"/>
    <col min="1793" max="1793" width="4.5703125" style="97" customWidth="1"/>
    <col min="1794" max="1794" width="61.28515625" style="97" customWidth="1"/>
    <col min="1795" max="1795" width="14.140625" style="97" customWidth="1"/>
    <col min="1796" max="1796" width="22" style="97" customWidth="1"/>
    <col min="1797" max="1799" width="0" style="97" hidden="1" customWidth="1"/>
    <col min="1800" max="1800" width="16.42578125" style="97" customWidth="1"/>
    <col min="1801" max="1801" width="0" style="97" hidden="1" customWidth="1"/>
    <col min="1802" max="1802" width="17.42578125" style="97" customWidth="1"/>
    <col min="1803" max="1803" width="0" style="97" hidden="1" customWidth="1"/>
    <col min="1804" max="1804" width="17.140625" style="97" customWidth="1"/>
    <col min="1805" max="1808" width="9.140625" style="97"/>
    <col min="1809" max="1809" width="13.28515625" style="97" customWidth="1"/>
    <col min="1810" max="2048" width="9.140625" style="97"/>
    <col min="2049" max="2049" width="4.5703125" style="97" customWidth="1"/>
    <col min="2050" max="2050" width="61.28515625" style="97" customWidth="1"/>
    <col min="2051" max="2051" width="14.140625" style="97" customWidth="1"/>
    <col min="2052" max="2052" width="22" style="97" customWidth="1"/>
    <col min="2053" max="2055" width="0" style="97" hidden="1" customWidth="1"/>
    <col min="2056" max="2056" width="16.42578125" style="97" customWidth="1"/>
    <col min="2057" max="2057" width="0" style="97" hidden="1" customWidth="1"/>
    <col min="2058" max="2058" width="17.42578125" style="97" customWidth="1"/>
    <col min="2059" max="2059" width="0" style="97" hidden="1" customWidth="1"/>
    <col min="2060" max="2060" width="17.140625" style="97" customWidth="1"/>
    <col min="2061" max="2064" width="9.140625" style="97"/>
    <col min="2065" max="2065" width="13.28515625" style="97" customWidth="1"/>
    <col min="2066" max="2304" width="9.140625" style="97"/>
    <col min="2305" max="2305" width="4.5703125" style="97" customWidth="1"/>
    <col min="2306" max="2306" width="61.28515625" style="97" customWidth="1"/>
    <col min="2307" max="2307" width="14.140625" style="97" customWidth="1"/>
    <col min="2308" max="2308" width="22" style="97" customWidth="1"/>
    <col min="2309" max="2311" width="0" style="97" hidden="1" customWidth="1"/>
    <col min="2312" max="2312" width="16.42578125" style="97" customWidth="1"/>
    <col min="2313" max="2313" width="0" style="97" hidden="1" customWidth="1"/>
    <col min="2314" max="2314" width="17.42578125" style="97" customWidth="1"/>
    <col min="2315" max="2315" width="0" style="97" hidden="1" customWidth="1"/>
    <col min="2316" max="2316" width="17.140625" style="97" customWidth="1"/>
    <col min="2317" max="2320" width="9.140625" style="97"/>
    <col min="2321" max="2321" width="13.28515625" style="97" customWidth="1"/>
    <col min="2322" max="2560" width="9.140625" style="97"/>
    <col min="2561" max="2561" width="4.5703125" style="97" customWidth="1"/>
    <col min="2562" max="2562" width="61.28515625" style="97" customWidth="1"/>
    <col min="2563" max="2563" width="14.140625" style="97" customWidth="1"/>
    <col min="2564" max="2564" width="22" style="97" customWidth="1"/>
    <col min="2565" max="2567" width="0" style="97" hidden="1" customWidth="1"/>
    <col min="2568" max="2568" width="16.42578125" style="97" customWidth="1"/>
    <col min="2569" max="2569" width="0" style="97" hidden="1" customWidth="1"/>
    <col min="2570" max="2570" width="17.42578125" style="97" customWidth="1"/>
    <col min="2571" max="2571" width="0" style="97" hidden="1" customWidth="1"/>
    <col min="2572" max="2572" width="17.140625" style="97" customWidth="1"/>
    <col min="2573" max="2576" width="9.140625" style="97"/>
    <col min="2577" max="2577" width="13.28515625" style="97" customWidth="1"/>
    <col min="2578" max="2816" width="9.140625" style="97"/>
    <col min="2817" max="2817" width="4.5703125" style="97" customWidth="1"/>
    <col min="2818" max="2818" width="61.28515625" style="97" customWidth="1"/>
    <col min="2819" max="2819" width="14.140625" style="97" customWidth="1"/>
    <col min="2820" max="2820" width="22" style="97" customWidth="1"/>
    <col min="2821" max="2823" width="0" style="97" hidden="1" customWidth="1"/>
    <col min="2824" max="2824" width="16.42578125" style="97" customWidth="1"/>
    <col min="2825" max="2825" width="0" style="97" hidden="1" customWidth="1"/>
    <col min="2826" max="2826" width="17.42578125" style="97" customWidth="1"/>
    <col min="2827" max="2827" width="0" style="97" hidden="1" customWidth="1"/>
    <col min="2828" max="2828" width="17.140625" style="97" customWidth="1"/>
    <col min="2829" max="2832" width="9.140625" style="97"/>
    <col min="2833" max="2833" width="13.28515625" style="97" customWidth="1"/>
    <col min="2834" max="3072" width="9.140625" style="97"/>
    <col min="3073" max="3073" width="4.5703125" style="97" customWidth="1"/>
    <col min="3074" max="3074" width="61.28515625" style="97" customWidth="1"/>
    <col min="3075" max="3075" width="14.140625" style="97" customWidth="1"/>
    <col min="3076" max="3076" width="22" style="97" customWidth="1"/>
    <col min="3077" max="3079" width="0" style="97" hidden="1" customWidth="1"/>
    <col min="3080" max="3080" width="16.42578125" style="97" customWidth="1"/>
    <col min="3081" max="3081" width="0" style="97" hidden="1" customWidth="1"/>
    <col min="3082" max="3082" width="17.42578125" style="97" customWidth="1"/>
    <col min="3083" max="3083" width="0" style="97" hidden="1" customWidth="1"/>
    <col min="3084" max="3084" width="17.140625" style="97" customWidth="1"/>
    <col min="3085" max="3088" width="9.140625" style="97"/>
    <col min="3089" max="3089" width="13.28515625" style="97" customWidth="1"/>
    <col min="3090" max="3328" width="9.140625" style="97"/>
    <col min="3329" max="3329" width="4.5703125" style="97" customWidth="1"/>
    <col min="3330" max="3330" width="61.28515625" style="97" customWidth="1"/>
    <col min="3331" max="3331" width="14.140625" style="97" customWidth="1"/>
    <col min="3332" max="3332" width="22" style="97" customWidth="1"/>
    <col min="3333" max="3335" width="0" style="97" hidden="1" customWidth="1"/>
    <col min="3336" max="3336" width="16.42578125" style="97" customWidth="1"/>
    <col min="3337" max="3337" width="0" style="97" hidden="1" customWidth="1"/>
    <col min="3338" max="3338" width="17.42578125" style="97" customWidth="1"/>
    <col min="3339" max="3339" width="0" style="97" hidden="1" customWidth="1"/>
    <col min="3340" max="3340" width="17.140625" style="97" customWidth="1"/>
    <col min="3341" max="3344" width="9.140625" style="97"/>
    <col min="3345" max="3345" width="13.28515625" style="97" customWidth="1"/>
    <col min="3346" max="3584" width="9.140625" style="97"/>
    <col min="3585" max="3585" width="4.5703125" style="97" customWidth="1"/>
    <col min="3586" max="3586" width="61.28515625" style="97" customWidth="1"/>
    <col min="3587" max="3587" width="14.140625" style="97" customWidth="1"/>
    <col min="3588" max="3588" width="22" style="97" customWidth="1"/>
    <col min="3589" max="3591" width="0" style="97" hidden="1" customWidth="1"/>
    <col min="3592" max="3592" width="16.42578125" style="97" customWidth="1"/>
    <col min="3593" max="3593" width="0" style="97" hidden="1" customWidth="1"/>
    <col min="3594" max="3594" width="17.42578125" style="97" customWidth="1"/>
    <col min="3595" max="3595" width="0" style="97" hidden="1" customWidth="1"/>
    <col min="3596" max="3596" width="17.140625" style="97" customWidth="1"/>
    <col min="3597" max="3600" width="9.140625" style="97"/>
    <col min="3601" max="3601" width="13.28515625" style="97" customWidth="1"/>
    <col min="3602" max="3840" width="9.140625" style="97"/>
    <col min="3841" max="3841" width="4.5703125" style="97" customWidth="1"/>
    <col min="3842" max="3842" width="61.28515625" style="97" customWidth="1"/>
    <col min="3843" max="3843" width="14.140625" style="97" customWidth="1"/>
    <col min="3844" max="3844" width="22" style="97" customWidth="1"/>
    <col min="3845" max="3847" width="0" style="97" hidden="1" customWidth="1"/>
    <col min="3848" max="3848" width="16.42578125" style="97" customWidth="1"/>
    <col min="3849" max="3849" width="0" style="97" hidden="1" customWidth="1"/>
    <col min="3850" max="3850" width="17.42578125" style="97" customWidth="1"/>
    <col min="3851" max="3851" width="0" style="97" hidden="1" customWidth="1"/>
    <col min="3852" max="3852" width="17.140625" style="97" customWidth="1"/>
    <col min="3853" max="3856" width="9.140625" style="97"/>
    <col min="3857" max="3857" width="13.28515625" style="97" customWidth="1"/>
    <col min="3858" max="4096" width="9.140625" style="97"/>
    <col min="4097" max="4097" width="4.5703125" style="97" customWidth="1"/>
    <col min="4098" max="4098" width="61.28515625" style="97" customWidth="1"/>
    <col min="4099" max="4099" width="14.140625" style="97" customWidth="1"/>
    <col min="4100" max="4100" width="22" style="97" customWidth="1"/>
    <col min="4101" max="4103" width="0" style="97" hidden="1" customWidth="1"/>
    <col min="4104" max="4104" width="16.42578125" style="97" customWidth="1"/>
    <col min="4105" max="4105" width="0" style="97" hidden="1" customWidth="1"/>
    <col min="4106" max="4106" width="17.42578125" style="97" customWidth="1"/>
    <col min="4107" max="4107" width="0" style="97" hidden="1" customWidth="1"/>
    <col min="4108" max="4108" width="17.140625" style="97" customWidth="1"/>
    <col min="4109" max="4112" width="9.140625" style="97"/>
    <col min="4113" max="4113" width="13.28515625" style="97" customWidth="1"/>
    <col min="4114" max="4352" width="9.140625" style="97"/>
    <col min="4353" max="4353" width="4.5703125" style="97" customWidth="1"/>
    <col min="4354" max="4354" width="61.28515625" style="97" customWidth="1"/>
    <col min="4355" max="4355" width="14.140625" style="97" customWidth="1"/>
    <col min="4356" max="4356" width="22" style="97" customWidth="1"/>
    <col min="4357" max="4359" width="0" style="97" hidden="1" customWidth="1"/>
    <col min="4360" max="4360" width="16.42578125" style="97" customWidth="1"/>
    <col min="4361" max="4361" width="0" style="97" hidden="1" customWidth="1"/>
    <col min="4362" max="4362" width="17.42578125" style="97" customWidth="1"/>
    <col min="4363" max="4363" width="0" style="97" hidden="1" customWidth="1"/>
    <col min="4364" max="4364" width="17.140625" style="97" customWidth="1"/>
    <col min="4365" max="4368" width="9.140625" style="97"/>
    <col min="4369" max="4369" width="13.28515625" style="97" customWidth="1"/>
    <col min="4370" max="4608" width="9.140625" style="97"/>
    <col min="4609" max="4609" width="4.5703125" style="97" customWidth="1"/>
    <col min="4610" max="4610" width="61.28515625" style="97" customWidth="1"/>
    <col min="4611" max="4611" width="14.140625" style="97" customWidth="1"/>
    <col min="4612" max="4612" width="22" style="97" customWidth="1"/>
    <col min="4613" max="4615" width="0" style="97" hidden="1" customWidth="1"/>
    <col min="4616" max="4616" width="16.42578125" style="97" customWidth="1"/>
    <col min="4617" max="4617" width="0" style="97" hidden="1" customWidth="1"/>
    <col min="4618" max="4618" width="17.42578125" style="97" customWidth="1"/>
    <col min="4619" max="4619" width="0" style="97" hidden="1" customWidth="1"/>
    <col min="4620" max="4620" width="17.140625" style="97" customWidth="1"/>
    <col min="4621" max="4624" width="9.140625" style="97"/>
    <col min="4625" max="4625" width="13.28515625" style="97" customWidth="1"/>
    <col min="4626" max="4864" width="9.140625" style="97"/>
    <col min="4865" max="4865" width="4.5703125" style="97" customWidth="1"/>
    <col min="4866" max="4866" width="61.28515625" style="97" customWidth="1"/>
    <col min="4867" max="4867" width="14.140625" style="97" customWidth="1"/>
    <col min="4868" max="4868" width="22" style="97" customWidth="1"/>
    <col min="4869" max="4871" width="0" style="97" hidden="1" customWidth="1"/>
    <col min="4872" max="4872" width="16.42578125" style="97" customWidth="1"/>
    <col min="4873" max="4873" width="0" style="97" hidden="1" customWidth="1"/>
    <col min="4874" max="4874" width="17.42578125" style="97" customWidth="1"/>
    <col min="4875" max="4875" width="0" style="97" hidden="1" customWidth="1"/>
    <col min="4876" max="4876" width="17.140625" style="97" customWidth="1"/>
    <col min="4877" max="4880" width="9.140625" style="97"/>
    <col min="4881" max="4881" width="13.28515625" style="97" customWidth="1"/>
    <col min="4882" max="5120" width="9.140625" style="97"/>
    <col min="5121" max="5121" width="4.5703125" style="97" customWidth="1"/>
    <col min="5122" max="5122" width="61.28515625" style="97" customWidth="1"/>
    <col min="5123" max="5123" width="14.140625" style="97" customWidth="1"/>
    <col min="5124" max="5124" width="22" style="97" customWidth="1"/>
    <col min="5125" max="5127" width="0" style="97" hidden="1" customWidth="1"/>
    <col min="5128" max="5128" width="16.42578125" style="97" customWidth="1"/>
    <col min="5129" max="5129" width="0" style="97" hidden="1" customWidth="1"/>
    <col min="5130" max="5130" width="17.42578125" style="97" customWidth="1"/>
    <col min="5131" max="5131" width="0" style="97" hidden="1" customWidth="1"/>
    <col min="5132" max="5132" width="17.140625" style="97" customWidth="1"/>
    <col min="5133" max="5136" width="9.140625" style="97"/>
    <col min="5137" max="5137" width="13.28515625" style="97" customWidth="1"/>
    <col min="5138" max="5376" width="9.140625" style="97"/>
    <col min="5377" max="5377" width="4.5703125" style="97" customWidth="1"/>
    <col min="5378" max="5378" width="61.28515625" style="97" customWidth="1"/>
    <col min="5379" max="5379" width="14.140625" style="97" customWidth="1"/>
    <col min="5380" max="5380" width="22" style="97" customWidth="1"/>
    <col min="5381" max="5383" width="0" style="97" hidden="1" customWidth="1"/>
    <col min="5384" max="5384" width="16.42578125" style="97" customWidth="1"/>
    <col min="5385" max="5385" width="0" style="97" hidden="1" customWidth="1"/>
    <col min="5386" max="5386" width="17.42578125" style="97" customWidth="1"/>
    <col min="5387" max="5387" width="0" style="97" hidden="1" customWidth="1"/>
    <col min="5388" max="5388" width="17.140625" style="97" customWidth="1"/>
    <col min="5389" max="5392" width="9.140625" style="97"/>
    <col min="5393" max="5393" width="13.28515625" style="97" customWidth="1"/>
    <col min="5394" max="5632" width="9.140625" style="97"/>
    <col min="5633" max="5633" width="4.5703125" style="97" customWidth="1"/>
    <col min="5634" max="5634" width="61.28515625" style="97" customWidth="1"/>
    <col min="5635" max="5635" width="14.140625" style="97" customWidth="1"/>
    <col min="5636" max="5636" width="22" style="97" customWidth="1"/>
    <col min="5637" max="5639" width="0" style="97" hidden="1" customWidth="1"/>
    <col min="5640" max="5640" width="16.42578125" style="97" customWidth="1"/>
    <col min="5641" max="5641" width="0" style="97" hidden="1" customWidth="1"/>
    <col min="5642" max="5642" width="17.42578125" style="97" customWidth="1"/>
    <col min="5643" max="5643" width="0" style="97" hidden="1" customWidth="1"/>
    <col min="5644" max="5644" width="17.140625" style="97" customWidth="1"/>
    <col min="5645" max="5648" width="9.140625" style="97"/>
    <col min="5649" max="5649" width="13.28515625" style="97" customWidth="1"/>
    <col min="5650" max="5888" width="9.140625" style="97"/>
    <col min="5889" max="5889" width="4.5703125" style="97" customWidth="1"/>
    <col min="5890" max="5890" width="61.28515625" style="97" customWidth="1"/>
    <col min="5891" max="5891" width="14.140625" style="97" customWidth="1"/>
    <col min="5892" max="5892" width="22" style="97" customWidth="1"/>
    <col min="5893" max="5895" width="0" style="97" hidden="1" customWidth="1"/>
    <col min="5896" max="5896" width="16.42578125" style="97" customWidth="1"/>
    <col min="5897" max="5897" width="0" style="97" hidden="1" customWidth="1"/>
    <col min="5898" max="5898" width="17.42578125" style="97" customWidth="1"/>
    <col min="5899" max="5899" width="0" style="97" hidden="1" customWidth="1"/>
    <col min="5900" max="5900" width="17.140625" style="97" customWidth="1"/>
    <col min="5901" max="5904" width="9.140625" style="97"/>
    <col min="5905" max="5905" width="13.28515625" style="97" customWidth="1"/>
    <col min="5906" max="6144" width="9.140625" style="97"/>
    <col min="6145" max="6145" width="4.5703125" style="97" customWidth="1"/>
    <col min="6146" max="6146" width="61.28515625" style="97" customWidth="1"/>
    <col min="6147" max="6147" width="14.140625" style="97" customWidth="1"/>
    <col min="6148" max="6148" width="22" style="97" customWidth="1"/>
    <col min="6149" max="6151" width="0" style="97" hidden="1" customWidth="1"/>
    <col min="6152" max="6152" width="16.42578125" style="97" customWidth="1"/>
    <col min="6153" max="6153" width="0" style="97" hidden="1" customWidth="1"/>
    <col min="6154" max="6154" width="17.42578125" style="97" customWidth="1"/>
    <col min="6155" max="6155" width="0" style="97" hidden="1" customWidth="1"/>
    <col min="6156" max="6156" width="17.140625" style="97" customWidth="1"/>
    <col min="6157" max="6160" width="9.140625" style="97"/>
    <col min="6161" max="6161" width="13.28515625" style="97" customWidth="1"/>
    <col min="6162" max="6400" width="9.140625" style="97"/>
    <col min="6401" max="6401" width="4.5703125" style="97" customWidth="1"/>
    <col min="6402" max="6402" width="61.28515625" style="97" customWidth="1"/>
    <col min="6403" max="6403" width="14.140625" style="97" customWidth="1"/>
    <col min="6404" max="6404" width="22" style="97" customWidth="1"/>
    <col min="6405" max="6407" width="0" style="97" hidden="1" customWidth="1"/>
    <col min="6408" max="6408" width="16.42578125" style="97" customWidth="1"/>
    <col min="6409" max="6409" width="0" style="97" hidden="1" customWidth="1"/>
    <col min="6410" max="6410" width="17.42578125" style="97" customWidth="1"/>
    <col min="6411" max="6411" width="0" style="97" hidden="1" customWidth="1"/>
    <col min="6412" max="6412" width="17.140625" style="97" customWidth="1"/>
    <col min="6413" max="6416" width="9.140625" style="97"/>
    <col min="6417" max="6417" width="13.28515625" style="97" customWidth="1"/>
    <col min="6418" max="6656" width="9.140625" style="97"/>
    <col min="6657" max="6657" width="4.5703125" style="97" customWidth="1"/>
    <col min="6658" max="6658" width="61.28515625" style="97" customWidth="1"/>
    <col min="6659" max="6659" width="14.140625" style="97" customWidth="1"/>
    <col min="6660" max="6660" width="22" style="97" customWidth="1"/>
    <col min="6661" max="6663" width="0" style="97" hidden="1" customWidth="1"/>
    <col min="6664" max="6664" width="16.42578125" style="97" customWidth="1"/>
    <col min="6665" max="6665" width="0" style="97" hidden="1" customWidth="1"/>
    <col min="6666" max="6666" width="17.42578125" style="97" customWidth="1"/>
    <col min="6667" max="6667" width="0" style="97" hidden="1" customWidth="1"/>
    <col min="6668" max="6668" width="17.140625" style="97" customWidth="1"/>
    <col min="6669" max="6672" width="9.140625" style="97"/>
    <col min="6673" max="6673" width="13.28515625" style="97" customWidth="1"/>
    <col min="6674" max="6912" width="9.140625" style="97"/>
    <col min="6913" max="6913" width="4.5703125" style="97" customWidth="1"/>
    <col min="6914" max="6914" width="61.28515625" style="97" customWidth="1"/>
    <col min="6915" max="6915" width="14.140625" style="97" customWidth="1"/>
    <col min="6916" max="6916" width="22" style="97" customWidth="1"/>
    <col min="6917" max="6919" width="0" style="97" hidden="1" customWidth="1"/>
    <col min="6920" max="6920" width="16.42578125" style="97" customWidth="1"/>
    <col min="6921" max="6921" width="0" style="97" hidden="1" customWidth="1"/>
    <col min="6922" max="6922" width="17.42578125" style="97" customWidth="1"/>
    <col min="6923" max="6923" width="0" style="97" hidden="1" customWidth="1"/>
    <col min="6924" max="6924" width="17.140625" style="97" customWidth="1"/>
    <col min="6925" max="6928" width="9.140625" style="97"/>
    <col min="6929" max="6929" width="13.28515625" style="97" customWidth="1"/>
    <col min="6930" max="7168" width="9.140625" style="97"/>
    <col min="7169" max="7169" width="4.5703125" style="97" customWidth="1"/>
    <col min="7170" max="7170" width="61.28515625" style="97" customWidth="1"/>
    <col min="7171" max="7171" width="14.140625" style="97" customWidth="1"/>
    <col min="7172" max="7172" width="22" style="97" customWidth="1"/>
    <col min="7173" max="7175" width="0" style="97" hidden="1" customWidth="1"/>
    <col min="7176" max="7176" width="16.42578125" style="97" customWidth="1"/>
    <col min="7177" max="7177" width="0" style="97" hidden="1" customWidth="1"/>
    <col min="7178" max="7178" width="17.42578125" style="97" customWidth="1"/>
    <col min="7179" max="7179" width="0" style="97" hidden="1" customWidth="1"/>
    <col min="7180" max="7180" width="17.140625" style="97" customWidth="1"/>
    <col min="7181" max="7184" width="9.140625" style="97"/>
    <col min="7185" max="7185" width="13.28515625" style="97" customWidth="1"/>
    <col min="7186" max="7424" width="9.140625" style="97"/>
    <col min="7425" max="7425" width="4.5703125" style="97" customWidth="1"/>
    <col min="7426" max="7426" width="61.28515625" style="97" customWidth="1"/>
    <col min="7427" max="7427" width="14.140625" style="97" customWidth="1"/>
    <col min="7428" max="7428" width="22" style="97" customWidth="1"/>
    <col min="7429" max="7431" width="0" style="97" hidden="1" customWidth="1"/>
    <col min="7432" max="7432" width="16.42578125" style="97" customWidth="1"/>
    <col min="7433" max="7433" width="0" style="97" hidden="1" customWidth="1"/>
    <col min="7434" max="7434" width="17.42578125" style="97" customWidth="1"/>
    <col min="7435" max="7435" width="0" style="97" hidden="1" customWidth="1"/>
    <col min="7436" max="7436" width="17.140625" style="97" customWidth="1"/>
    <col min="7437" max="7440" width="9.140625" style="97"/>
    <col min="7441" max="7441" width="13.28515625" style="97" customWidth="1"/>
    <col min="7442" max="7680" width="9.140625" style="97"/>
    <col min="7681" max="7681" width="4.5703125" style="97" customWidth="1"/>
    <col min="7682" max="7682" width="61.28515625" style="97" customWidth="1"/>
    <col min="7683" max="7683" width="14.140625" style="97" customWidth="1"/>
    <col min="7684" max="7684" width="22" style="97" customWidth="1"/>
    <col min="7685" max="7687" width="0" style="97" hidden="1" customWidth="1"/>
    <col min="7688" max="7688" width="16.42578125" style="97" customWidth="1"/>
    <col min="7689" max="7689" width="0" style="97" hidden="1" customWidth="1"/>
    <col min="7690" max="7690" width="17.42578125" style="97" customWidth="1"/>
    <col min="7691" max="7691" width="0" style="97" hidden="1" customWidth="1"/>
    <col min="7692" max="7692" width="17.140625" style="97" customWidth="1"/>
    <col min="7693" max="7696" width="9.140625" style="97"/>
    <col min="7697" max="7697" width="13.28515625" style="97" customWidth="1"/>
    <col min="7698" max="7936" width="9.140625" style="97"/>
    <col min="7937" max="7937" width="4.5703125" style="97" customWidth="1"/>
    <col min="7938" max="7938" width="61.28515625" style="97" customWidth="1"/>
    <col min="7939" max="7939" width="14.140625" style="97" customWidth="1"/>
    <col min="7940" max="7940" width="22" style="97" customWidth="1"/>
    <col min="7941" max="7943" width="0" style="97" hidden="1" customWidth="1"/>
    <col min="7944" max="7944" width="16.42578125" style="97" customWidth="1"/>
    <col min="7945" max="7945" width="0" style="97" hidden="1" customWidth="1"/>
    <col min="7946" max="7946" width="17.42578125" style="97" customWidth="1"/>
    <col min="7947" max="7947" width="0" style="97" hidden="1" customWidth="1"/>
    <col min="7948" max="7948" width="17.140625" style="97" customWidth="1"/>
    <col min="7949" max="7952" width="9.140625" style="97"/>
    <col min="7953" max="7953" width="13.28515625" style="97" customWidth="1"/>
    <col min="7954" max="8192" width="9.140625" style="97"/>
    <col min="8193" max="8193" width="4.5703125" style="97" customWidth="1"/>
    <col min="8194" max="8194" width="61.28515625" style="97" customWidth="1"/>
    <col min="8195" max="8195" width="14.140625" style="97" customWidth="1"/>
    <col min="8196" max="8196" width="22" style="97" customWidth="1"/>
    <col min="8197" max="8199" width="0" style="97" hidden="1" customWidth="1"/>
    <col min="8200" max="8200" width="16.42578125" style="97" customWidth="1"/>
    <col min="8201" max="8201" width="0" style="97" hidden="1" customWidth="1"/>
    <col min="8202" max="8202" width="17.42578125" style="97" customWidth="1"/>
    <col min="8203" max="8203" width="0" style="97" hidden="1" customWidth="1"/>
    <col min="8204" max="8204" width="17.140625" style="97" customWidth="1"/>
    <col min="8205" max="8208" width="9.140625" style="97"/>
    <col min="8209" max="8209" width="13.28515625" style="97" customWidth="1"/>
    <col min="8210" max="8448" width="9.140625" style="97"/>
    <col min="8449" max="8449" width="4.5703125" style="97" customWidth="1"/>
    <col min="8450" max="8450" width="61.28515625" style="97" customWidth="1"/>
    <col min="8451" max="8451" width="14.140625" style="97" customWidth="1"/>
    <col min="8452" max="8452" width="22" style="97" customWidth="1"/>
    <col min="8453" max="8455" width="0" style="97" hidden="1" customWidth="1"/>
    <col min="8456" max="8456" width="16.42578125" style="97" customWidth="1"/>
    <col min="8457" max="8457" width="0" style="97" hidden="1" customWidth="1"/>
    <col min="8458" max="8458" width="17.42578125" style="97" customWidth="1"/>
    <col min="8459" max="8459" width="0" style="97" hidden="1" customWidth="1"/>
    <col min="8460" max="8460" width="17.140625" style="97" customWidth="1"/>
    <col min="8461" max="8464" width="9.140625" style="97"/>
    <col min="8465" max="8465" width="13.28515625" style="97" customWidth="1"/>
    <col min="8466" max="8704" width="9.140625" style="97"/>
    <col min="8705" max="8705" width="4.5703125" style="97" customWidth="1"/>
    <col min="8706" max="8706" width="61.28515625" style="97" customWidth="1"/>
    <col min="8707" max="8707" width="14.140625" style="97" customWidth="1"/>
    <col min="8708" max="8708" width="22" style="97" customWidth="1"/>
    <col min="8709" max="8711" width="0" style="97" hidden="1" customWidth="1"/>
    <col min="8712" max="8712" width="16.42578125" style="97" customWidth="1"/>
    <col min="8713" max="8713" width="0" style="97" hidden="1" customWidth="1"/>
    <col min="8714" max="8714" width="17.42578125" style="97" customWidth="1"/>
    <col min="8715" max="8715" width="0" style="97" hidden="1" customWidth="1"/>
    <col min="8716" max="8716" width="17.140625" style="97" customWidth="1"/>
    <col min="8717" max="8720" width="9.140625" style="97"/>
    <col min="8721" max="8721" width="13.28515625" style="97" customWidth="1"/>
    <col min="8722" max="8960" width="9.140625" style="97"/>
    <col min="8961" max="8961" width="4.5703125" style="97" customWidth="1"/>
    <col min="8962" max="8962" width="61.28515625" style="97" customWidth="1"/>
    <col min="8963" max="8963" width="14.140625" style="97" customWidth="1"/>
    <col min="8964" max="8964" width="22" style="97" customWidth="1"/>
    <col min="8965" max="8967" width="0" style="97" hidden="1" customWidth="1"/>
    <col min="8968" max="8968" width="16.42578125" style="97" customWidth="1"/>
    <col min="8969" max="8969" width="0" style="97" hidden="1" customWidth="1"/>
    <col min="8970" max="8970" width="17.42578125" style="97" customWidth="1"/>
    <col min="8971" max="8971" width="0" style="97" hidden="1" customWidth="1"/>
    <col min="8972" max="8972" width="17.140625" style="97" customWidth="1"/>
    <col min="8973" max="8976" width="9.140625" style="97"/>
    <col min="8977" max="8977" width="13.28515625" style="97" customWidth="1"/>
    <col min="8978" max="9216" width="9.140625" style="97"/>
    <col min="9217" max="9217" width="4.5703125" style="97" customWidth="1"/>
    <col min="9218" max="9218" width="61.28515625" style="97" customWidth="1"/>
    <col min="9219" max="9219" width="14.140625" style="97" customWidth="1"/>
    <col min="9220" max="9220" width="22" style="97" customWidth="1"/>
    <col min="9221" max="9223" width="0" style="97" hidden="1" customWidth="1"/>
    <col min="9224" max="9224" width="16.42578125" style="97" customWidth="1"/>
    <col min="9225" max="9225" width="0" style="97" hidden="1" customWidth="1"/>
    <col min="9226" max="9226" width="17.42578125" style="97" customWidth="1"/>
    <col min="9227" max="9227" width="0" style="97" hidden="1" customWidth="1"/>
    <col min="9228" max="9228" width="17.140625" style="97" customWidth="1"/>
    <col min="9229" max="9232" width="9.140625" style="97"/>
    <col min="9233" max="9233" width="13.28515625" style="97" customWidth="1"/>
    <col min="9234" max="9472" width="9.140625" style="97"/>
    <col min="9473" max="9473" width="4.5703125" style="97" customWidth="1"/>
    <col min="9474" max="9474" width="61.28515625" style="97" customWidth="1"/>
    <col min="9475" max="9475" width="14.140625" style="97" customWidth="1"/>
    <col min="9476" max="9476" width="22" style="97" customWidth="1"/>
    <col min="9477" max="9479" width="0" style="97" hidden="1" customWidth="1"/>
    <col min="9480" max="9480" width="16.42578125" style="97" customWidth="1"/>
    <col min="9481" max="9481" width="0" style="97" hidden="1" customWidth="1"/>
    <col min="9482" max="9482" width="17.42578125" style="97" customWidth="1"/>
    <col min="9483" max="9483" width="0" style="97" hidden="1" customWidth="1"/>
    <col min="9484" max="9484" width="17.140625" style="97" customWidth="1"/>
    <col min="9485" max="9488" width="9.140625" style="97"/>
    <col min="9489" max="9489" width="13.28515625" style="97" customWidth="1"/>
    <col min="9490" max="9728" width="9.140625" style="97"/>
    <col min="9729" max="9729" width="4.5703125" style="97" customWidth="1"/>
    <col min="9730" max="9730" width="61.28515625" style="97" customWidth="1"/>
    <col min="9731" max="9731" width="14.140625" style="97" customWidth="1"/>
    <col min="9732" max="9732" width="22" style="97" customWidth="1"/>
    <col min="9733" max="9735" width="0" style="97" hidden="1" customWidth="1"/>
    <col min="9736" max="9736" width="16.42578125" style="97" customWidth="1"/>
    <col min="9737" max="9737" width="0" style="97" hidden="1" customWidth="1"/>
    <col min="9738" max="9738" width="17.42578125" style="97" customWidth="1"/>
    <col min="9739" max="9739" width="0" style="97" hidden="1" customWidth="1"/>
    <col min="9740" max="9740" width="17.140625" style="97" customWidth="1"/>
    <col min="9741" max="9744" width="9.140625" style="97"/>
    <col min="9745" max="9745" width="13.28515625" style="97" customWidth="1"/>
    <col min="9746" max="9984" width="9.140625" style="97"/>
    <col min="9985" max="9985" width="4.5703125" style="97" customWidth="1"/>
    <col min="9986" max="9986" width="61.28515625" style="97" customWidth="1"/>
    <col min="9987" max="9987" width="14.140625" style="97" customWidth="1"/>
    <col min="9988" max="9988" width="22" style="97" customWidth="1"/>
    <col min="9989" max="9991" width="0" style="97" hidden="1" customWidth="1"/>
    <col min="9992" max="9992" width="16.42578125" style="97" customWidth="1"/>
    <col min="9993" max="9993" width="0" style="97" hidden="1" customWidth="1"/>
    <col min="9994" max="9994" width="17.42578125" style="97" customWidth="1"/>
    <col min="9995" max="9995" width="0" style="97" hidden="1" customWidth="1"/>
    <col min="9996" max="9996" width="17.140625" style="97" customWidth="1"/>
    <col min="9997" max="10000" width="9.140625" style="97"/>
    <col min="10001" max="10001" width="13.28515625" style="97" customWidth="1"/>
    <col min="10002" max="10240" width="9.140625" style="97"/>
    <col min="10241" max="10241" width="4.5703125" style="97" customWidth="1"/>
    <col min="10242" max="10242" width="61.28515625" style="97" customWidth="1"/>
    <col min="10243" max="10243" width="14.140625" style="97" customWidth="1"/>
    <col min="10244" max="10244" width="22" style="97" customWidth="1"/>
    <col min="10245" max="10247" width="0" style="97" hidden="1" customWidth="1"/>
    <col min="10248" max="10248" width="16.42578125" style="97" customWidth="1"/>
    <col min="10249" max="10249" width="0" style="97" hidden="1" customWidth="1"/>
    <col min="10250" max="10250" width="17.42578125" style="97" customWidth="1"/>
    <col min="10251" max="10251" width="0" style="97" hidden="1" customWidth="1"/>
    <col min="10252" max="10252" width="17.140625" style="97" customWidth="1"/>
    <col min="10253" max="10256" width="9.140625" style="97"/>
    <col min="10257" max="10257" width="13.28515625" style="97" customWidth="1"/>
    <col min="10258" max="10496" width="9.140625" style="97"/>
    <col min="10497" max="10497" width="4.5703125" style="97" customWidth="1"/>
    <col min="10498" max="10498" width="61.28515625" style="97" customWidth="1"/>
    <col min="10499" max="10499" width="14.140625" style="97" customWidth="1"/>
    <col min="10500" max="10500" width="22" style="97" customWidth="1"/>
    <col min="10501" max="10503" width="0" style="97" hidden="1" customWidth="1"/>
    <col min="10504" max="10504" width="16.42578125" style="97" customWidth="1"/>
    <col min="10505" max="10505" width="0" style="97" hidden="1" customWidth="1"/>
    <col min="10506" max="10506" width="17.42578125" style="97" customWidth="1"/>
    <col min="10507" max="10507" width="0" style="97" hidden="1" customWidth="1"/>
    <col min="10508" max="10508" width="17.140625" style="97" customWidth="1"/>
    <col min="10509" max="10512" width="9.140625" style="97"/>
    <col min="10513" max="10513" width="13.28515625" style="97" customWidth="1"/>
    <col min="10514" max="10752" width="9.140625" style="97"/>
    <col min="10753" max="10753" width="4.5703125" style="97" customWidth="1"/>
    <col min="10754" max="10754" width="61.28515625" style="97" customWidth="1"/>
    <col min="10755" max="10755" width="14.140625" style="97" customWidth="1"/>
    <col min="10756" max="10756" width="22" style="97" customWidth="1"/>
    <col min="10757" max="10759" width="0" style="97" hidden="1" customWidth="1"/>
    <col min="10760" max="10760" width="16.42578125" style="97" customWidth="1"/>
    <col min="10761" max="10761" width="0" style="97" hidden="1" customWidth="1"/>
    <col min="10762" max="10762" width="17.42578125" style="97" customWidth="1"/>
    <col min="10763" max="10763" width="0" style="97" hidden="1" customWidth="1"/>
    <col min="10764" max="10764" width="17.140625" style="97" customWidth="1"/>
    <col min="10765" max="10768" width="9.140625" style="97"/>
    <col min="10769" max="10769" width="13.28515625" style="97" customWidth="1"/>
    <col min="10770" max="11008" width="9.140625" style="97"/>
    <col min="11009" max="11009" width="4.5703125" style="97" customWidth="1"/>
    <col min="11010" max="11010" width="61.28515625" style="97" customWidth="1"/>
    <col min="11011" max="11011" width="14.140625" style="97" customWidth="1"/>
    <col min="11012" max="11012" width="22" style="97" customWidth="1"/>
    <col min="11013" max="11015" width="0" style="97" hidden="1" customWidth="1"/>
    <col min="11016" max="11016" width="16.42578125" style="97" customWidth="1"/>
    <col min="11017" max="11017" width="0" style="97" hidden="1" customWidth="1"/>
    <col min="11018" max="11018" width="17.42578125" style="97" customWidth="1"/>
    <col min="11019" max="11019" width="0" style="97" hidden="1" customWidth="1"/>
    <col min="11020" max="11020" width="17.140625" style="97" customWidth="1"/>
    <col min="11021" max="11024" width="9.140625" style="97"/>
    <col min="11025" max="11025" width="13.28515625" style="97" customWidth="1"/>
    <col min="11026" max="11264" width="9.140625" style="97"/>
    <col min="11265" max="11265" width="4.5703125" style="97" customWidth="1"/>
    <col min="11266" max="11266" width="61.28515625" style="97" customWidth="1"/>
    <col min="11267" max="11267" width="14.140625" style="97" customWidth="1"/>
    <col min="11268" max="11268" width="22" style="97" customWidth="1"/>
    <col min="11269" max="11271" width="0" style="97" hidden="1" customWidth="1"/>
    <col min="11272" max="11272" width="16.42578125" style="97" customWidth="1"/>
    <col min="11273" max="11273" width="0" style="97" hidden="1" customWidth="1"/>
    <col min="11274" max="11274" width="17.42578125" style="97" customWidth="1"/>
    <col min="11275" max="11275" width="0" style="97" hidden="1" customWidth="1"/>
    <col min="11276" max="11276" width="17.140625" style="97" customWidth="1"/>
    <col min="11277" max="11280" width="9.140625" style="97"/>
    <col min="11281" max="11281" width="13.28515625" style="97" customWidth="1"/>
    <col min="11282" max="11520" width="9.140625" style="97"/>
    <col min="11521" max="11521" width="4.5703125" style="97" customWidth="1"/>
    <col min="11522" max="11522" width="61.28515625" style="97" customWidth="1"/>
    <col min="11523" max="11523" width="14.140625" style="97" customWidth="1"/>
    <col min="11524" max="11524" width="22" style="97" customWidth="1"/>
    <col min="11525" max="11527" width="0" style="97" hidden="1" customWidth="1"/>
    <col min="11528" max="11528" width="16.42578125" style="97" customWidth="1"/>
    <col min="11529" max="11529" width="0" style="97" hidden="1" customWidth="1"/>
    <col min="11530" max="11530" width="17.42578125" style="97" customWidth="1"/>
    <col min="11531" max="11531" width="0" style="97" hidden="1" customWidth="1"/>
    <col min="11532" max="11532" width="17.140625" style="97" customWidth="1"/>
    <col min="11533" max="11536" width="9.140625" style="97"/>
    <col min="11537" max="11537" width="13.28515625" style="97" customWidth="1"/>
    <col min="11538" max="11776" width="9.140625" style="97"/>
    <col min="11777" max="11777" width="4.5703125" style="97" customWidth="1"/>
    <col min="11778" max="11778" width="61.28515625" style="97" customWidth="1"/>
    <col min="11779" max="11779" width="14.140625" style="97" customWidth="1"/>
    <col min="11780" max="11780" width="22" style="97" customWidth="1"/>
    <col min="11781" max="11783" width="0" style="97" hidden="1" customWidth="1"/>
    <col min="11784" max="11784" width="16.42578125" style="97" customWidth="1"/>
    <col min="11785" max="11785" width="0" style="97" hidden="1" customWidth="1"/>
    <col min="11786" max="11786" width="17.42578125" style="97" customWidth="1"/>
    <col min="11787" max="11787" width="0" style="97" hidden="1" customWidth="1"/>
    <col min="11788" max="11788" width="17.140625" style="97" customWidth="1"/>
    <col min="11789" max="11792" width="9.140625" style="97"/>
    <col min="11793" max="11793" width="13.28515625" style="97" customWidth="1"/>
    <col min="11794" max="12032" width="9.140625" style="97"/>
    <col min="12033" max="12033" width="4.5703125" style="97" customWidth="1"/>
    <col min="12034" max="12034" width="61.28515625" style="97" customWidth="1"/>
    <col min="12035" max="12035" width="14.140625" style="97" customWidth="1"/>
    <col min="12036" max="12036" width="22" style="97" customWidth="1"/>
    <col min="12037" max="12039" width="0" style="97" hidden="1" customWidth="1"/>
    <col min="12040" max="12040" width="16.42578125" style="97" customWidth="1"/>
    <col min="12041" max="12041" width="0" style="97" hidden="1" customWidth="1"/>
    <col min="12042" max="12042" width="17.42578125" style="97" customWidth="1"/>
    <col min="12043" max="12043" width="0" style="97" hidden="1" customWidth="1"/>
    <col min="12044" max="12044" width="17.140625" style="97" customWidth="1"/>
    <col min="12045" max="12048" width="9.140625" style="97"/>
    <col min="12049" max="12049" width="13.28515625" style="97" customWidth="1"/>
    <col min="12050" max="12288" width="9.140625" style="97"/>
    <col min="12289" max="12289" width="4.5703125" style="97" customWidth="1"/>
    <col min="12290" max="12290" width="61.28515625" style="97" customWidth="1"/>
    <col min="12291" max="12291" width="14.140625" style="97" customWidth="1"/>
    <col min="12292" max="12292" width="22" style="97" customWidth="1"/>
    <col min="12293" max="12295" width="0" style="97" hidden="1" customWidth="1"/>
    <col min="12296" max="12296" width="16.42578125" style="97" customWidth="1"/>
    <col min="12297" max="12297" width="0" style="97" hidden="1" customWidth="1"/>
    <col min="12298" max="12298" width="17.42578125" style="97" customWidth="1"/>
    <col min="12299" max="12299" width="0" style="97" hidden="1" customWidth="1"/>
    <col min="12300" max="12300" width="17.140625" style="97" customWidth="1"/>
    <col min="12301" max="12304" width="9.140625" style="97"/>
    <col min="12305" max="12305" width="13.28515625" style="97" customWidth="1"/>
    <col min="12306" max="12544" width="9.140625" style="97"/>
    <col min="12545" max="12545" width="4.5703125" style="97" customWidth="1"/>
    <col min="12546" max="12546" width="61.28515625" style="97" customWidth="1"/>
    <col min="12547" max="12547" width="14.140625" style="97" customWidth="1"/>
    <col min="12548" max="12548" width="22" style="97" customWidth="1"/>
    <col min="12549" max="12551" width="0" style="97" hidden="1" customWidth="1"/>
    <col min="12552" max="12552" width="16.42578125" style="97" customWidth="1"/>
    <col min="12553" max="12553" width="0" style="97" hidden="1" customWidth="1"/>
    <col min="12554" max="12554" width="17.42578125" style="97" customWidth="1"/>
    <col min="12555" max="12555" width="0" style="97" hidden="1" customWidth="1"/>
    <col min="12556" max="12556" width="17.140625" style="97" customWidth="1"/>
    <col min="12557" max="12560" width="9.140625" style="97"/>
    <col min="12561" max="12561" width="13.28515625" style="97" customWidth="1"/>
    <col min="12562" max="12800" width="9.140625" style="97"/>
    <col min="12801" max="12801" width="4.5703125" style="97" customWidth="1"/>
    <col min="12802" max="12802" width="61.28515625" style="97" customWidth="1"/>
    <col min="12803" max="12803" width="14.140625" style="97" customWidth="1"/>
    <col min="12804" max="12804" width="22" style="97" customWidth="1"/>
    <col min="12805" max="12807" width="0" style="97" hidden="1" customWidth="1"/>
    <col min="12808" max="12808" width="16.42578125" style="97" customWidth="1"/>
    <col min="12809" max="12809" width="0" style="97" hidden="1" customWidth="1"/>
    <col min="12810" max="12810" width="17.42578125" style="97" customWidth="1"/>
    <col min="12811" max="12811" width="0" style="97" hidden="1" customWidth="1"/>
    <col min="12812" max="12812" width="17.140625" style="97" customWidth="1"/>
    <col min="12813" max="12816" width="9.140625" style="97"/>
    <col min="12817" max="12817" width="13.28515625" style="97" customWidth="1"/>
    <col min="12818" max="13056" width="9.140625" style="97"/>
    <col min="13057" max="13057" width="4.5703125" style="97" customWidth="1"/>
    <col min="13058" max="13058" width="61.28515625" style="97" customWidth="1"/>
    <col min="13059" max="13059" width="14.140625" style="97" customWidth="1"/>
    <col min="13060" max="13060" width="22" style="97" customWidth="1"/>
    <col min="13061" max="13063" width="0" style="97" hidden="1" customWidth="1"/>
    <col min="13064" max="13064" width="16.42578125" style="97" customWidth="1"/>
    <col min="13065" max="13065" width="0" style="97" hidden="1" customWidth="1"/>
    <col min="13066" max="13066" width="17.42578125" style="97" customWidth="1"/>
    <col min="13067" max="13067" width="0" style="97" hidden="1" customWidth="1"/>
    <col min="13068" max="13068" width="17.140625" style="97" customWidth="1"/>
    <col min="13069" max="13072" width="9.140625" style="97"/>
    <col min="13073" max="13073" width="13.28515625" style="97" customWidth="1"/>
    <col min="13074" max="13312" width="9.140625" style="97"/>
    <col min="13313" max="13313" width="4.5703125" style="97" customWidth="1"/>
    <col min="13314" max="13314" width="61.28515625" style="97" customWidth="1"/>
    <col min="13315" max="13315" width="14.140625" style="97" customWidth="1"/>
    <col min="13316" max="13316" width="22" style="97" customWidth="1"/>
    <col min="13317" max="13319" width="0" style="97" hidden="1" customWidth="1"/>
    <col min="13320" max="13320" width="16.42578125" style="97" customWidth="1"/>
    <col min="13321" max="13321" width="0" style="97" hidden="1" customWidth="1"/>
    <col min="13322" max="13322" width="17.42578125" style="97" customWidth="1"/>
    <col min="13323" max="13323" width="0" style="97" hidden="1" customWidth="1"/>
    <col min="13324" max="13324" width="17.140625" style="97" customWidth="1"/>
    <col min="13325" max="13328" width="9.140625" style="97"/>
    <col min="13329" max="13329" width="13.28515625" style="97" customWidth="1"/>
    <col min="13330" max="13568" width="9.140625" style="97"/>
    <col min="13569" max="13569" width="4.5703125" style="97" customWidth="1"/>
    <col min="13570" max="13570" width="61.28515625" style="97" customWidth="1"/>
    <col min="13571" max="13571" width="14.140625" style="97" customWidth="1"/>
    <col min="13572" max="13572" width="22" style="97" customWidth="1"/>
    <col min="13573" max="13575" width="0" style="97" hidden="1" customWidth="1"/>
    <col min="13576" max="13576" width="16.42578125" style="97" customWidth="1"/>
    <col min="13577" max="13577" width="0" style="97" hidden="1" customWidth="1"/>
    <col min="13578" max="13578" width="17.42578125" style="97" customWidth="1"/>
    <col min="13579" max="13579" width="0" style="97" hidden="1" customWidth="1"/>
    <col min="13580" max="13580" width="17.140625" style="97" customWidth="1"/>
    <col min="13581" max="13584" width="9.140625" style="97"/>
    <col min="13585" max="13585" width="13.28515625" style="97" customWidth="1"/>
    <col min="13586" max="13824" width="9.140625" style="97"/>
    <col min="13825" max="13825" width="4.5703125" style="97" customWidth="1"/>
    <col min="13826" max="13826" width="61.28515625" style="97" customWidth="1"/>
    <col min="13827" max="13827" width="14.140625" style="97" customWidth="1"/>
    <col min="13828" max="13828" width="22" style="97" customWidth="1"/>
    <col min="13829" max="13831" width="0" style="97" hidden="1" customWidth="1"/>
    <col min="13832" max="13832" width="16.42578125" style="97" customWidth="1"/>
    <col min="13833" max="13833" width="0" style="97" hidden="1" customWidth="1"/>
    <col min="13834" max="13834" width="17.42578125" style="97" customWidth="1"/>
    <col min="13835" max="13835" width="0" style="97" hidden="1" customWidth="1"/>
    <col min="13836" max="13836" width="17.140625" style="97" customWidth="1"/>
    <col min="13837" max="13840" width="9.140625" style="97"/>
    <col min="13841" max="13841" width="13.28515625" style="97" customWidth="1"/>
    <col min="13842" max="14080" width="9.140625" style="97"/>
    <col min="14081" max="14081" width="4.5703125" style="97" customWidth="1"/>
    <col min="14082" max="14082" width="61.28515625" style="97" customWidth="1"/>
    <col min="14083" max="14083" width="14.140625" style="97" customWidth="1"/>
    <col min="14084" max="14084" width="22" style="97" customWidth="1"/>
    <col min="14085" max="14087" width="0" style="97" hidden="1" customWidth="1"/>
    <col min="14088" max="14088" width="16.42578125" style="97" customWidth="1"/>
    <col min="14089" max="14089" width="0" style="97" hidden="1" customWidth="1"/>
    <col min="14090" max="14090" width="17.42578125" style="97" customWidth="1"/>
    <col min="14091" max="14091" width="0" style="97" hidden="1" customWidth="1"/>
    <col min="14092" max="14092" width="17.140625" style="97" customWidth="1"/>
    <col min="14093" max="14096" width="9.140625" style="97"/>
    <col min="14097" max="14097" width="13.28515625" style="97" customWidth="1"/>
    <col min="14098" max="14336" width="9.140625" style="97"/>
    <col min="14337" max="14337" width="4.5703125" style="97" customWidth="1"/>
    <col min="14338" max="14338" width="61.28515625" style="97" customWidth="1"/>
    <col min="14339" max="14339" width="14.140625" style="97" customWidth="1"/>
    <col min="14340" max="14340" width="22" style="97" customWidth="1"/>
    <col min="14341" max="14343" width="0" style="97" hidden="1" customWidth="1"/>
    <col min="14344" max="14344" width="16.42578125" style="97" customWidth="1"/>
    <col min="14345" max="14345" width="0" style="97" hidden="1" customWidth="1"/>
    <col min="14346" max="14346" width="17.42578125" style="97" customWidth="1"/>
    <col min="14347" max="14347" width="0" style="97" hidden="1" customWidth="1"/>
    <col min="14348" max="14348" width="17.140625" style="97" customWidth="1"/>
    <col min="14349" max="14352" width="9.140625" style="97"/>
    <col min="14353" max="14353" width="13.28515625" style="97" customWidth="1"/>
    <col min="14354" max="14592" width="9.140625" style="97"/>
    <col min="14593" max="14593" width="4.5703125" style="97" customWidth="1"/>
    <col min="14594" max="14594" width="61.28515625" style="97" customWidth="1"/>
    <col min="14595" max="14595" width="14.140625" style="97" customWidth="1"/>
    <col min="14596" max="14596" width="22" style="97" customWidth="1"/>
    <col min="14597" max="14599" width="0" style="97" hidden="1" customWidth="1"/>
    <col min="14600" max="14600" width="16.42578125" style="97" customWidth="1"/>
    <col min="14601" max="14601" width="0" style="97" hidden="1" customWidth="1"/>
    <col min="14602" max="14602" width="17.42578125" style="97" customWidth="1"/>
    <col min="14603" max="14603" width="0" style="97" hidden="1" customWidth="1"/>
    <col min="14604" max="14604" width="17.140625" style="97" customWidth="1"/>
    <col min="14605" max="14608" width="9.140625" style="97"/>
    <col min="14609" max="14609" width="13.28515625" style="97" customWidth="1"/>
    <col min="14610" max="14848" width="9.140625" style="97"/>
    <col min="14849" max="14849" width="4.5703125" style="97" customWidth="1"/>
    <col min="14850" max="14850" width="61.28515625" style="97" customWidth="1"/>
    <col min="14851" max="14851" width="14.140625" style="97" customWidth="1"/>
    <col min="14852" max="14852" width="22" style="97" customWidth="1"/>
    <col min="14853" max="14855" width="0" style="97" hidden="1" customWidth="1"/>
    <col min="14856" max="14856" width="16.42578125" style="97" customWidth="1"/>
    <col min="14857" max="14857" width="0" style="97" hidden="1" customWidth="1"/>
    <col min="14858" max="14858" width="17.42578125" style="97" customWidth="1"/>
    <col min="14859" max="14859" width="0" style="97" hidden="1" customWidth="1"/>
    <col min="14860" max="14860" width="17.140625" style="97" customWidth="1"/>
    <col min="14861" max="14864" width="9.140625" style="97"/>
    <col min="14865" max="14865" width="13.28515625" style="97" customWidth="1"/>
    <col min="14866" max="15104" width="9.140625" style="97"/>
    <col min="15105" max="15105" width="4.5703125" style="97" customWidth="1"/>
    <col min="15106" max="15106" width="61.28515625" style="97" customWidth="1"/>
    <col min="15107" max="15107" width="14.140625" style="97" customWidth="1"/>
    <col min="15108" max="15108" width="22" style="97" customWidth="1"/>
    <col min="15109" max="15111" width="0" style="97" hidden="1" customWidth="1"/>
    <col min="15112" max="15112" width="16.42578125" style="97" customWidth="1"/>
    <col min="15113" max="15113" width="0" style="97" hidden="1" customWidth="1"/>
    <col min="15114" max="15114" width="17.42578125" style="97" customWidth="1"/>
    <col min="15115" max="15115" width="0" style="97" hidden="1" customWidth="1"/>
    <col min="15116" max="15116" width="17.140625" style="97" customWidth="1"/>
    <col min="15117" max="15120" width="9.140625" style="97"/>
    <col min="15121" max="15121" width="13.28515625" style="97" customWidth="1"/>
    <col min="15122" max="15360" width="9.140625" style="97"/>
    <col min="15361" max="15361" width="4.5703125" style="97" customWidth="1"/>
    <col min="15362" max="15362" width="61.28515625" style="97" customWidth="1"/>
    <col min="15363" max="15363" width="14.140625" style="97" customWidth="1"/>
    <col min="15364" max="15364" width="22" style="97" customWidth="1"/>
    <col min="15365" max="15367" width="0" style="97" hidden="1" customWidth="1"/>
    <col min="15368" max="15368" width="16.42578125" style="97" customWidth="1"/>
    <col min="15369" max="15369" width="0" style="97" hidden="1" customWidth="1"/>
    <col min="15370" max="15370" width="17.42578125" style="97" customWidth="1"/>
    <col min="15371" max="15371" width="0" style="97" hidden="1" customWidth="1"/>
    <col min="15372" max="15372" width="17.140625" style="97" customWidth="1"/>
    <col min="15373" max="15376" width="9.140625" style="97"/>
    <col min="15377" max="15377" width="13.28515625" style="97" customWidth="1"/>
    <col min="15378" max="15616" width="9.140625" style="97"/>
    <col min="15617" max="15617" width="4.5703125" style="97" customWidth="1"/>
    <col min="15618" max="15618" width="61.28515625" style="97" customWidth="1"/>
    <col min="15619" max="15619" width="14.140625" style="97" customWidth="1"/>
    <col min="15620" max="15620" width="22" style="97" customWidth="1"/>
    <col min="15621" max="15623" width="0" style="97" hidden="1" customWidth="1"/>
    <col min="15624" max="15624" width="16.42578125" style="97" customWidth="1"/>
    <col min="15625" max="15625" width="0" style="97" hidden="1" customWidth="1"/>
    <col min="15626" max="15626" width="17.42578125" style="97" customWidth="1"/>
    <col min="15627" max="15627" width="0" style="97" hidden="1" customWidth="1"/>
    <col min="15628" max="15628" width="17.140625" style="97" customWidth="1"/>
    <col min="15629" max="15632" width="9.140625" style="97"/>
    <col min="15633" max="15633" width="13.28515625" style="97" customWidth="1"/>
    <col min="15634" max="15872" width="9.140625" style="97"/>
    <col min="15873" max="15873" width="4.5703125" style="97" customWidth="1"/>
    <col min="15874" max="15874" width="61.28515625" style="97" customWidth="1"/>
    <col min="15875" max="15875" width="14.140625" style="97" customWidth="1"/>
    <col min="15876" max="15876" width="22" style="97" customWidth="1"/>
    <col min="15877" max="15879" width="0" style="97" hidden="1" customWidth="1"/>
    <col min="15880" max="15880" width="16.42578125" style="97" customWidth="1"/>
    <col min="15881" max="15881" width="0" style="97" hidden="1" customWidth="1"/>
    <col min="15882" max="15882" width="17.42578125" style="97" customWidth="1"/>
    <col min="15883" max="15883" width="0" style="97" hidden="1" customWidth="1"/>
    <col min="15884" max="15884" width="17.140625" style="97" customWidth="1"/>
    <col min="15885" max="15888" width="9.140625" style="97"/>
    <col min="15889" max="15889" width="13.28515625" style="97" customWidth="1"/>
    <col min="15890" max="16128" width="9.140625" style="97"/>
    <col min="16129" max="16129" width="4.5703125" style="97" customWidth="1"/>
    <col min="16130" max="16130" width="61.28515625" style="97" customWidth="1"/>
    <col min="16131" max="16131" width="14.140625" style="97" customWidth="1"/>
    <col min="16132" max="16132" width="22" style="97" customWidth="1"/>
    <col min="16133" max="16135" width="0" style="97" hidden="1" customWidth="1"/>
    <col min="16136" max="16136" width="16.42578125" style="97" customWidth="1"/>
    <col min="16137" max="16137" width="0" style="97" hidden="1" customWidth="1"/>
    <col min="16138" max="16138" width="17.42578125" style="97" customWidth="1"/>
    <col min="16139" max="16139" width="0" style="97" hidden="1" customWidth="1"/>
    <col min="16140" max="16140" width="17.140625" style="97" customWidth="1"/>
    <col min="16141" max="16144" width="9.140625" style="97"/>
    <col min="16145" max="16145" width="13.28515625" style="97" customWidth="1"/>
    <col min="16146" max="16384" width="9.140625" style="97"/>
  </cols>
  <sheetData>
    <row r="1" spans="2:20" ht="66.75" customHeight="1"/>
    <row r="2" spans="2:20" ht="40.5" customHeight="1">
      <c r="B2" s="814" t="s">
        <v>190</v>
      </c>
      <c r="C2" s="814"/>
      <c r="D2" s="814"/>
      <c r="E2" s="814"/>
      <c r="F2" s="814"/>
      <c r="G2" s="814"/>
      <c r="H2" s="814"/>
      <c r="I2" s="814"/>
      <c r="J2" s="814"/>
      <c r="K2" s="814"/>
      <c r="L2" s="814"/>
    </row>
    <row r="3" spans="2:20" ht="13.5" thickBot="1">
      <c r="B3" s="98"/>
      <c r="C3" s="815"/>
      <c r="D3" s="816"/>
      <c r="E3" s="816"/>
      <c r="F3" s="816"/>
    </row>
    <row r="4" spans="2:20" ht="24" customHeight="1">
      <c r="B4" s="817" t="s">
        <v>1</v>
      </c>
      <c r="C4" s="819" t="s">
        <v>109</v>
      </c>
      <c r="D4" s="821" t="s">
        <v>210</v>
      </c>
      <c r="E4" s="822"/>
      <c r="F4" s="823"/>
      <c r="G4" s="99">
        <v>2011</v>
      </c>
      <c r="H4" s="821" t="s">
        <v>211</v>
      </c>
      <c r="I4" s="821" t="s">
        <v>191</v>
      </c>
      <c r="J4" s="827" t="s">
        <v>215</v>
      </c>
      <c r="K4" s="827"/>
      <c r="L4" s="828"/>
    </row>
    <row r="5" spans="2:20" ht="32.25" customHeight="1" thickBot="1">
      <c r="B5" s="818"/>
      <c r="C5" s="820"/>
      <c r="D5" s="824"/>
      <c r="E5" s="825"/>
      <c r="F5" s="826"/>
      <c r="G5" s="100" t="s">
        <v>192</v>
      </c>
      <c r="H5" s="824"/>
      <c r="I5" s="824"/>
      <c r="J5" s="101" t="s">
        <v>212</v>
      </c>
      <c r="K5" s="101" t="s">
        <v>193</v>
      </c>
      <c r="L5" s="101" t="s">
        <v>213</v>
      </c>
    </row>
    <row r="6" spans="2:20" ht="17.25" customHeight="1" thickBot="1">
      <c r="B6" s="829" t="s">
        <v>110</v>
      </c>
      <c r="C6" s="830"/>
      <c r="D6" s="830"/>
      <c r="E6" s="830"/>
      <c r="F6" s="830"/>
      <c r="G6" s="830"/>
      <c r="H6" s="830"/>
      <c r="I6" s="830"/>
      <c r="J6" s="830"/>
      <c r="K6" s="830"/>
      <c r="L6" s="831"/>
    </row>
    <row r="7" spans="2:20">
      <c r="B7" s="102" t="s">
        <v>3</v>
      </c>
      <c r="C7" s="103" t="s">
        <v>111</v>
      </c>
      <c r="D7" s="104">
        <v>1</v>
      </c>
      <c r="E7" s="105">
        <v>1</v>
      </c>
      <c r="F7" s="105">
        <v>1</v>
      </c>
      <c r="G7" s="105">
        <v>1</v>
      </c>
      <c r="H7" s="104">
        <v>1</v>
      </c>
      <c r="I7" s="104">
        <v>1</v>
      </c>
      <c r="J7" s="104">
        <v>1</v>
      </c>
      <c r="K7" s="104">
        <v>1</v>
      </c>
      <c r="L7" s="106">
        <v>1</v>
      </c>
      <c r="Q7" s="107"/>
      <c r="R7" s="107"/>
      <c r="S7" s="107"/>
      <c r="T7" s="107"/>
    </row>
    <row r="8" spans="2:20" s="113" customFormat="1">
      <c r="B8" s="108" t="s">
        <v>112</v>
      </c>
      <c r="C8" s="109"/>
      <c r="D8" s="110"/>
      <c r="E8" s="111"/>
      <c r="F8" s="111"/>
      <c r="G8" s="111"/>
      <c r="H8" s="110"/>
      <c r="I8" s="110"/>
      <c r="J8" s="110"/>
      <c r="K8" s="110"/>
      <c r="L8" s="112"/>
      <c r="Q8" s="107"/>
      <c r="R8" s="107"/>
      <c r="S8" s="107"/>
      <c r="T8" s="107"/>
    </row>
    <row r="9" spans="2:20" s="113" customFormat="1" ht="14.25" customHeight="1" thickBot="1">
      <c r="B9" s="108" t="s">
        <v>113</v>
      </c>
      <c r="C9" s="109" t="s">
        <v>111</v>
      </c>
      <c r="D9" s="110">
        <v>1</v>
      </c>
      <c r="E9" s="111">
        <v>0</v>
      </c>
      <c r="F9" s="111">
        <v>0</v>
      </c>
      <c r="G9" s="111">
        <v>0</v>
      </c>
      <c r="H9" s="110">
        <v>1</v>
      </c>
      <c r="I9" s="110">
        <v>0</v>
      </c>
      <c r="J9" s="110">
        <v>1</v>
      </c>
      <c r="K9" s="110">
        <v>0</v>
      </c>
      <c r="L9" s="112">
        <v>1</v>
      </c>
      <c r="Q9" s="107"/>
      <c r="R9" s="107"/>
      <c r="S9" s="107"/>
      <c r="T9" s="107"/>
    </row>
    <row r="10" spans="2:20" s="113" customFormat="1" ht="13.5" hidden="1" thickBot="1">
      <c r="B10" s="114" t="s">
        <v>114</v>
      </c>
      <c r="C10" s="115" t="s">
        <v>111</v>
      </c>
      <c r="D10" s="116">
        <v>1</v>
      </c>
      <c r="E10" s="117">
        <v>1</v>
      </c>
      <c r="F10" s="117">
        <v>1</v>
      </c>
      <c r="G10" s="117">
        <v>1</v>
      </c>
      <c r="H10" s="117">
        <v>1</v>
      </c>
      <c r="I10" s="117">
        <v>1</v>
      </c>
      <c r="J10" s="117">
        <v>1</v>
      </c>
      <c r="K10" s="117">
        <v>1</v>
      </c>
      <c r="L10" s="118">
        <v>1</v>
      </c>
      <c r="Q10" s="107"/>
      <c r="R10" s="107"/>
      <c r="S10" s="107"/>
      <c r="T10" s="107"/>
    </row>
    <row r="11" spans="2:20" s="113" customFormat="1" ht="13.5" hidden="1" thickBot="1">
      <c r="B11" s="119" t="s">
        <v>115</v>
      </c>
      <c r="C11" s="120" t="s">
        <v>111</v>
      </c>
      <c r="D11" s="121"/>
      <c r="E11" s="122">
        <v>0</v>
      </c>
      <c r="F11" s="122">
        <v>0</v>
      </c>
      <c r="G11" s="123">
        <v>0</v>
      </c>
      <c r="H11" s="124"/>
      <c r="I11" s="125"/>
      <c r="J11" s="124"/>
      <c r="K11" s="124"/>
      <c r="L11" s="126"/>
      <c r="Q11" s="107"/>
      <c r="R11" s="107"/>
      <c r="S11" s="107"/>
      <c r="T11" s="107"/>
    </row>
    <row r="12" spans="2:20" s="134" customFormat="1">
      <c r="B12" s="127" t="s">
        <v>116</v>
      </c>
      <c r="C12" s="128" t="s">
        <v>4</v>
      </c>
      <c r="D12" s="129">
        <v>1562.15</v>
      </c>
      <c r="E12" s="130">
        <f>E13+E19+E20</f>
        <v>6420.2</v>
      </c>
      <c r="F12" s="131">
        <f>F13+F19+F20</f>
        <v>6623.7699999999995</v>
      </c>
      <c r="G12" s="131">
        <f>G13+G19+G20</f>
        <v>5569.2000000000007</v>
      </c>
      <c r="H12" s="129">
        <v>2237</v>
      </c>
      <c r="I12" s="131">
        <v>6693.68</v>
      </c>
      <c r="J12" s="129">
        <f>J13+J19+J20</f>
        <v>2176.88</v>
      </c>
      <c r="K12" s="129">
        <f>K13+K19+K20</f>
        <v>2139.87</v>
      </c>
      <c r="L12" s="132">
        <f>L13+L19+L20</f>
        <v>2176.88</v>
      </c>
      <c r="M12" s="133"/>
      <c r="Q12" s="135"/>
      <c r="R12" s="135"/>
      <c r="S12" s="135"/>
      <c r="T12" s="107"/>
    </row>
    <row r="13" spans="2:20" s="134" customFormat="1">
      <c r="B13" s="136" t="s">
        <v>5</v>
      </c>
      <c r="C13" s="137" t="s">
        <v>4</v>
      </c>
      <c r="D13" s="138">
        <v>1562.15</v>
      </c>
      <c r="E13" s="139">
        <f>SUM(E14:E17)</f>
        <v>5976.5</v>
      </c>
      <c r="F13" s="140">
        <f>SUM(F14:F17)</f>
        <v>5527.2</v>
      </c>
      <c r="G13" s="140">
        <f>SUM(G14:G17)</f>
        <v>4797.2000000000007</v>
      </c>
      <c r="H13" s="138">
        <v>1729.49</v>
      </c>
      <c r="I13" s="140">
        <v>5597.1</v>
      </c>
      <c r="J13" s="138">
        <f>SUM(J14:J17)</f>
        <v>1729.49</v>
      </c>
      <c r="K13" s="138">
        <f>SUM(K14:K17)</f>
        <v>1729.49</v>
      </c>
      <c r="L13" s="141">
        <f>SUM(L14:L17)</f>
        <v>1729.49</v>
      </c>
      <c r="M13" s="133"/>
      <c r="Q13" s="135"/>
      <c r="R13" s="135"/>
      <c r="S13" s="135"/>
      <c r="T13" s="107"/>
    </row>
    <row r="14" spans="2:20" s="134" customFormat="1" ht="15.75">
      <c r="B14" s="136" t="s">
        <v>117</v>
      </c>
      <c r="C14" s="137" t="s">
        <v>4</v>
      </c>
      <c r="D14" s="142">
        <v>0</v>
      </c>
      <c r="E14" s="139">
        <f>526+3369.6</f>
        <v>3895.6</v>
      </c>
      <c r="F14" s="140">
        <f>2766.7+480.1</f>
        <v>3246.7999999999997</v>
      </c>
      <c r="G14" s="140">
        <v>3154</v>
      </c>
      <c r="H14" s="138">
        <v>564.49</v>
      </c>
      <c r="I14" s="140">
        <v>3246.8</v>
      </c>
      <c r="J14" s="138">
        <v>564.49</v>
      </c>
      <c r="K14" s="138">
        <f t="shared" ref="K14:L18" si="0">J14</f>
        <v>564.49</v>
      </c>
      <c r="L14" s="141">
        <f t="shared" si="0"/>
        <v>564.49</v>
      </c>
      <c r="M14" s="133"/>
      <c r="O14" s="143"/>
      <c r="Q14" s="135"/>
      <c r="R14" s="135"/>
      <c r="S14" s="135"/>
      <c r="T14" s="144"/>
    </row>
    <row r="15" spans="2:20" s="134" customFormat="1">
      <c r="B15" s="136" t="s">
        <v>194</v>
      </c>
      <c r="C15" s="137" t="s">
        <v>4</v>
      </c>
      <c r="D15" s="142">
        <v>1562.15</v>
      </c>
      <c r="E15" s="139">
        <v>0</v>
      </c>
      <c r="F15" s="140">
        <v>766</v>
      </c>
      <c r="G15" s="140">
        <v>128.80000000000001</v>
      </c>
      <c r="H15" s="138">
        <v>0</v>
      </c>
      <c r="I15" s="140">
        <v>766</v>
      </c>
      <c r="J15" s="138">
        <v>0</v>
      </c>
      <c r="K15" s="138">
        <f t="shared" si="0"/>
        <v>0</v>
      </c>
      <c r="L15" s="141">
        <f t="shared" si="0"/>
        <v>0</v>
      </c>
      <c r="M15" s="133"/>
      <c r="O15" s="145"/>
      <c r="Q15" s="135"/>
      <c r="R15" s="135"/>
      <c r="S15" s="135"/>
      <c r="T15" s="135"/>
    </row>
    <row r="16" spans="2:20" s="134" customFormat="1">
      <c r="B16" s="136" t="s">
        <v>118</v>
      </c>
      <c r="C16" s="137" t="s">
        <v>4</v>
      </c>
      <c r="D16" s="142">
        <v>0</v>
      </c>
      <c r="E16" s="139">
        <f>56+441.9</f>
        <v>497.9</v>
      </c>
      <c r="F16" s="140">
        <v>39</v>
      </c>
      <c r="G16" s="140">
        <v>39</v>
      </c>
      <c r="H16" s="138">
        <v>0</v>
      </c>
      <c r="I16" s="140">
        <v>43.6</v>
      </c>
      <c r="J16" s="138">
        <v>0</v>
      </c>
      <c r="K16" s="138">
        <f t="shared" si="0"/>
        <v>0</v>
      </c>
      <c r="L16" s="141">
        <f t="shared" si="0"/>
        <v>0</v>
      </c>
      <c r="M16" s="133"/>
      <c r="O16" s="145"/>
      <c r="Q16" s="135"/>
      <c r="R16" s="135"/>
      <c r="S16" s="135"/>
      <c r="T16" s="135"/>
    </row>
    <row r="17" spans="2:20" s="134" customFormat="1">
      <c r="B17" s="146" t="s">
        <v>119</v>
      </c>
      <c r="C17" s="137" t="s">
        <v>4</v>
      </c>
      <c r="D17" s="142">
        <v>0</v>
      </c>
      <c r="E17" s="139">
        <f>109+1474</f>
        <v>1583</v>
      </c>
      <c r="F17" s="140">
        <f>1366.7+108.7</f>
        <v>1475.4</v>
      </c>
      <c r="G17" s="140">
        <v>1475.4</v>
      </c>
      <c r="H17" s="138">
        <v>1165</v>
      </c>
      <c r="I17" s="140">
        <v>1540.7</v>
      </c>
      <c r="J17" s="138">
        <v>1165</v>
      </c>
      <c r="K17" s="138">
        <f t="shared" si="0"/>
        <v>1165</v>
      </c>
      <c r="L17" s="141">
        <f t="shared" si="0"/>
        <v>1165</v>
      </c>
      <c r="O17" s="147"/>
    </row>
    <row r="18" spans="2:20" s="134" customFormat="1" ht="13.5" customHeight="1">
      <c r="B18" s="146" t="s">
        <v>120</v>
      </c>
      <c r="C18" s="137" t="s">
        <v>4</v>
      </c>
      <c r="D18" s="142"/>
      <c r="E18" s="139">
        <f>SUM(E14:E16)</f>
        <v>4393.5</v>
      </c>
      <c r="F18" s="140">
        <f>SUM(F14:F16)</f>
        <v>4051.7999999999997</v>
      </c>
      <c r="G18" s="140">
        <f>SUM(G14:G16)</f>
        <v>3321.8</v>
      </c>
      <c r="H18" s="138">
        <f>H14</f>
        <v>564.49</v>
      </c>
      <c r="I18" s="140">
        <v>4056.4</v>
      </c>
      <c r="J18" s="138">
        <f>SUM(J14:J16)</f>
        <v>564.49</v>
      </c>
      <c r="K18" s="138">
        <f t="shared" si="0"/>
        <v>564.49</v>
      </c>
      <c r="L18" s="141">
        <f t="shared" si="0"/>
        <v>564.49</v>
      </c>
      <c r="M18" s="133"/>
      <c r="Q18" s="135"/>
      <c r="R18" s="135"/>
      <c r="S18" s="135"/>
      <c r="T18" s="135"/>
    </row>
    <row r="19" spans="2:20" s="134" customFormat="1">
      <c r="B19" s="146" t="s">
        <v>121</v>
      </c>
      <c r="C19" s="137" t="s">
        <v>4</v>
      </c>
      <c r="D19" s="142"/>
      <c r="E19" s="139">
        <v>99.4</v>
      </c>
      <c r="F19" s="140">
        <v>49.07</v>
      </c>
      <c r="G19" s="140">
        <v>0</v>
      </c>
      <c r="H19" s="138">
        <v>25.4</v>
      </c>
      <c r="I19" s="140">
        <v>49.07</v>
      </c>
      <c r="J19" s="138">
        <v>37.01</v>
      </c>
      <c r="K19" s="138"/>
      <c r="L19" s="141">
        <f>J19</f>
        <v>37.01</v>
      </c>
      <c r="M19" s="133"/>
    </row>
    <row r="20" spans="2:20" s="134" customFormat="1" ht="13.5" thickBot="1">
      <c r="B20" s="148" t="s">
        <v>122</v>
      </c>
      <c r="C20" s="149" t="s">
        <v>4</v>
      </c>
      <c r="D20" s="150"/>
      <c r="E20" s="151">
        <v>344.3</v>
      </c>
      <c r="F20" s="152">
        <v>1047.5</v>
      </c>
      <c r="G20" s="152">
        <v>772</v>
      </c>
      <c r="H20" s="153">
        <v>486.11</v>
      </c>
      <c r="I20" s="152">
        <v>1047.51</v>
      </c>
      <c r="J20" s="153">
        <v>410.38</v>
      </c>
      <c r="K20" s="153">
        <f>J20</f>
        <v>410.38</v>
      </c>
      <c r="L20" s="154">
        <f>K20</f>
        <v>410.38</v>
      </c>
      <c r="M20" s="133"/>
      <c r="N20" s="155"/>
    </row>
    <row r="21" spans="2:20" s="134" customFormat="1" ht="19.5" customHeight="1" thickBot="1">
      <c r="B21" s="805" t="s">
        <v>124</v>
      </c>
      <c r="C21" s="806"/>
      <c r="D21" s="806"/>
      <c r="E21" s="806"/>
      <c r="F21" s="806"/>
      <c r="G21" s="806"/>
      <c r="H21" s="806"/>
      <c r="I21" s="806"/>
      <c r="J21" s="806"/>
      <c r="K21" s="806"/>
      <c r="L21" s="807"/>
    </row>
    <row r="22" spans="2:20" s="134" customFormat="1" ht="15" customHeight="1">
      <c r="B22" s="127" t="s">
        <v>125</v>
      </c>
      <c r="C22" s="156" t="s">
        <v>126</v>
      </c>
      <c r="D22" s="157">
        <v>219.56000000000003</v>
      </c>
      <c r="E22" s="158">
        <f>E23</f>
        <v>190.2</v>
      </c>
      <c r="F22" s="158">
        <f>(F23*F44+F25*F46)/F43</f>
        <v>217.82</v>
      </c>
      <c r="G22" s="159">
        <f>(G23*G44+G25*G46)/G43</f>
        <v>217.82</v>
      </c>
      <c r="H22" s="157">
        <f>H23</f>
        <v>213.2</v>
      </c>
      <c r="I22" s="158">
        <v>217.82</v>
      </c>
      <c r="J22" s="157">
        <f>(J23*J44+J25*J46)/J43</f>
        <v>219.81999999999996</v>
      </c>
      <c r="K22" s="157">
        <f>(K23*K44+K25*K46)/K43</f>
        <v>217.82</v>
      </c>
      <c r="L22" s="160">
        <f>(L23*L44+L25*L46)/L43</f>
        <v>219.81999999999996</v>
      </c>
      <c r="N22" s="161"/>
    </row>
    <row r="23" spans="2:20" s="134" customFormat="1">
      <c r="B23" s="162" t="s">
        <v>127</v>
      </c>
      <c r="C23" s="137" t="s">
        <v>126</v>
      </c>
      <c r="D23" s="163">
        <v>219.56</v>
      </c>
      <c r="E23" s="111">
        <v>190.2</v>
      </c>
      <c r="F23" s="164">
        <v>217.82</v>
      </c>
      <c r="G23" s="165">
        <v>217.82</v>
      </c>
      <c r="H23" s="166">
        <v>213.2</v>
      </c>
      <c r="I23" s="164">
        <v>217.82</v>
      </c>
      <c r="J23" s="167">
        <v>219.82</v>
      </c>
      <c r="K23" s="167">
        <v>217.82</v>
      </c>
      <c r="L23" s="168">
        <f>J23</f>
        <v>219.82</v>
      </c>
      <c r="O23" s="161"/>
    </row>
    <row r="24" spans="2:20" s="134" customFormat="1" hidden="1">
      <c r="B24" s="162" t="s">
        <v>128</v>
      </c>
      <c r="C24" s="137" t="s">
        <v>126</v>
      </c>
      <c r="D24" s="163"/>
      <c r="E24" s="111"/>
      <c r="F24" s="164"/>
      <c r="G24" s="165"/>
      <c r="H24" s="166"/>
      <c r="I24" s="164"/>
      <c r="J24" s="164"/>
      <c r="K24" s="164"/>
      <c r="L24" s="169"/>
    </row>
    <row r="25" spans="2:20" s="134" customFormat="1" hidden="1">
      <c r="B25" s="162" t="s">
        <v>129</v>
      </c>
      <c r="C25" s="137" t="s">
        <v>126</v>
      </c>
      <c r="D25" s="163">
        <v>0</v>
      </c>
      <c r="E25" s="111">
        <v>0</v>
      </c>
      <c r="F25" s="164">
        <v>0</v>
      </c>
      <c r="G25" s="165">
        <v>0</v>
      </c>
      <c r="H25" s="166"/>
      <c r="I25" s="164">
        <v>0</v>
      </c>
      <c r="J25" s="164">
        <v>0</v>
      </c>
      <c r="K25" s="164">
        <v>0</v>
      </c>
      <c r="L25" s="169">
        <v>0</v>
      </c>
    </row>
    <row r="26" spans="2:20" s="134" customFormat="1" hidden="1">
      <c r="B26" s="162" t="s">
        <v>130</v>
      </c>
      <c r="C26" s="137" t="s">
        <v>126</v>
      </c>
      <c r="D26" s="163">
        <v>0</v>
      </c>
      <c r="E26" s="111"/>
      <c r="F26" s="164">
        <v>0</v>
      </c>
      <c r="G26" s="165">
        <v>0</v>
      </c>
      <c r="H26" s="166"/>
      <c r="I26" s="164">
        <v>0</v>
      </c>
      <c r="J26" s="164">
        <v>0</v>
      </c>
      <c r="K26" s="164">
        <v>0</v>
      </c>
      <c r="L26" s="169">
        <v>0</v>
      </c>
    </row>
    <row r="27" spans="2:20" s="134" customFormat="1" hidden="1">
      <c r="B27" s="170" t="s">
        <v>131</v>
      </c>
      <c r="C27" s="137" t="s">
        <v>126</v>
      </c>
      <c r="D27" s="163"/>
      <c r="E27" s="111"/>
      <c r="F27" s="164"/>
      <c r="G27" s="165"/>
      <c r="H27" s="166"/>
      <c r="I27" s="164"/>
      <c r="J27" s="164"/>
      <c r="K27" s="164"/>
      <c r="L27" s="169"/>
    </row>
    <row r="28" spans="2:20" s="134" customFormat="1" hidden="1">
      <c r="B28" s="170" t="s">
        <v>132</v>
      </c>
      <c r="C28" s="137" t="s">
        <v>126</v>
      </c>
      <c r="D28" s="163"/>
      <c r="E28" s="111"/>
      <c r="F28" s="164"/>
      <c r="G28" s="165"/>
      <c r="H28" s="166"/>
      <c r="I28" s="164"/>
      <c r="J28" s="164"/>
      <c r="K28" s="164"/>
      <c r="L28" s="169"/>
    </row>
    <row r="29" spans="2:20" s="134" customFormat="1" ht="13.5" thickBot="1">
      <c r="B29" s="171" t="s">
        <v>133</v>
      </c>
      <c r="C29" s="137"/>
      <c r="D29" s="172">
        <v>0.72985714285714287</v>
      </c>
      <c r="E29" s="173">
        <f>(E30*E44+E32*E46)/E43</f>
        <v>0.67</v>
      </c>
      <c r="F29" s="174">
        <f>(F30*F44+F32*F46)/F43</f>
        <v>0.72099999999999997</v>
      </c>
      <c r="G29" s="175">
        <f>(G30*G44+G32*G46)/G43</f>
        <v>0.53200000000000003</v>
      </c>
      <c r="H29" s="172">
        <f>H30</f>
        <v>0.73</v>
      </c>
      <c r="I29" s="174">
        <v>0.75955486426246321</v>
      </c>
      <c r="J29" s="176">
        <f>(J30*J44+J32*J46)/J43</f>
        <v>0.6428571428571429</v>
      </c>
      <c r="K29" s="176">
        <f>(K30*K44+K32*K46)/K43</f>
        <v>0.6428571428571429</v>
      </c>
      <c r="L29" s="177">
        <f>(L30*L44+L32*L46)/L43</f>
        <v>0.6428571428571429</v>
      </c>
    </row>
    <row r="30" spans="2:20" s="134" customFormat="1" ht="13.5" thickBot="1">
      <c r="B30" s="162" t="s">
        <v>127</v>
      </c>
      <c r="C30" s="137"/>
      <c r="D30" s="172">
        <v>0.72985714285714287</v>
      </c>
      <c r="E30" s="178">
        <v>0.67</v>
      </c>
      <c r="F30" s="179">
        <v>0.72099999999999997</v>
      </c>
      <c r="G30" s="180">
        <v>0.53200000000000003</v>
      </c>
      <c r="H30" s="181">
        <v>0.73</v>
      </c>
      <c r="I30" s="179">
        <v>0.75955486426246321</v>
      </c>
      <c r="J30" s="182">
        <f>4500/7000</f>
        <v>0.6428571428571429</v>
      </c>
      <c r="K30" s="182">
        <f>J30</f>
        <v>0.6428571428571429</v>
      </c>
      <c r="L30" s="183">
        <f>K30</f>
        <v>0.6428571428571429</v>
      </c>
      <c r="N30" s="184"/>
      <c r="O30" s="185"/>
      <c r="P30" s="186"/>
      <c r="Q30" s="187"/>
    </row>
    <row r="31" spans="2:20" s="134" customFormat="1" ht="13.5" hidden="1" thickBot="1">
      <c r="B31" s="162" t="s">
        <v>128</v>
      </c>
      <c r="C31" s="137"/>
      <c r="D31" s="163"/>
      <c r="E31" s="111"/>
      <c r="F31" s="164"/>
      <c r="G31" s="165"/>
      <c r="H31" s="166"/>
      <c r="I31" s="164"/>
      <c r="J31" s="164"/>
      <c r="K31" s="164"/>
      <c r="L31" s="169"/>
      <c r="O31" s="188"/>
      <c r="P31" s="189"/>
      <c r="Q31" s="190"/>
    </row>
    <row r="32" spans="2:20" s="134" customFormat="1" ht="13.5" hidden="1" thickBot="1">
      <c r="B32" s="162" t="s">
        <v>129</v>
      </c>
      <c r="C32" s="137"/>
      <c r="D32" s="172">
        <v>0</v>
      </c>
      <c r="E32" s="178">
        <v>0</v>
      </c>
      <c r="F32" s="179">
        <v>0</v>
      </c>
      <c r="G32" s="180">
        <v>0</v>
      </c>
      <c r="H32" s="181"/>
      <c r="I32" s="179">
        <v>0</v>
      </c>
      <c r="J32" s="179">
        <v>0</v>
      </c>
      <c r="K32" s="179">
        <v>0</v>
      </c>
      <c r="L32" s="191">
        <v>0</v>
      </c>
      <c r="O32" s="188"/>
      <c r="P32" s="189"/>
      <c r="Q32" s="190"/>
    </row>
    <row r="33" spans="2:17" s="134" customFormat="1" ht="13.5" hidden="1" thickBot="1">
      <c r="B33" s="162" t="s">
        <v>130</v>
      </c>
      <c r="C33" s="137"/>
      <c r="D33" s="163">
        <v>0</v>
      </c>
      <c r="E33" s="111"/>
      <c r="F33" s="164">
        <v>0</v>
      </c>
      <c r="G33" s="165">
        <v>0</v>
      </c>
      <c r="H33" s="166"/>
      <c r="I33" s="164">
        <v>0</v>
      </c>
      <c r="J33" s="164">
        <v>0</v>
      </c>
      <c r="K33" s="164">
        <v>0</v>
      </c>
      <c r="L33" s="169">
        <v>0</v>
      </c>
      <c r="O33" s="188"/>
      <c r="P33" s="189"/>
      <c r="Q33" s="190"/>
    </row>
    <row r="34" spans="2:17" s="134" customFormat="1" ht="13.5" hidden="1" thickBot="1">
      <c r="B34" s="170" t="s">
        <v>131</v>
      </c>
      <c r="C34" s="137"/>
      <c r="D34" s="163"/>
      <c r="E34" s="111"/>
      <c r="F34" s="164"/>
      <c r="G34" s="165"/>
      <c r="H34" s="166"/>
      <c r="I34" s="164"/>
      <c r="J34" s="164"/>
      <c r="K34" s="164"/>
      <c r="L34" s="169"/>
      <c r="O34" s="188"/>
      <c r="P34" s="189"/>
      <c r="Q34" s="190"/>
    </row>
    <row r="35" spans="2:17" s="134" customFormat="1" ht="13.5" hidden="1" thickBot="1">
      <c r="B35" s="170" t="s">
        <v>132</v>
      </c>
      <c r="C35" s="137"/>
      <c r="D35" s="163"/>
      <c r="E35" s="111"/>
      <c r="F35" s="164"/>
      <c r="G35" s="165"/>
      <c r="H35" s="166"/>
      <c r="I35" s="164"/>
      <c r="J35" s="164"/>
      <c r="K35" s="164"/>
      <c r="L35" s="169"/>
      <c r="O35" s="188"/>
      <c r="P35" s="189"/>
      <c r="Q35" s="190"/>
    </row>
    <row r="36" spans="2:17" s="134" customFormat="1" ht="15" customHeight="1" thickBot="1">
      <c r="B36" s="136" t="s">
        <v>134</v>
      </c>
      <c r="C36" s="192" t="s">
        <v>135</v>
      </c>
      <c r="D36" s="163">
        <v>300.82599334507734</v>
      </c>
      <c r="E36" s="193">
        <f>(E37*E44+E39*E46)/E43</f>
        <v>283.88</v>
      </c>
      <c r="F36" s="164">
        <f>F22/F29</f>
        <v>302.10818307905686</v>
      </c>
      <c r="G36" s="165">
        <f>G37</f>
        <v>409.44</v>
      </c>
      <c r="H36" s="166">
        <v>307.95999999999998</v>
      </c>
      <c r="I36" s="164">
        <v>286.77322764762465</v>
      </c>
      <c r="J36" s="167">
        <f t="shared" ref="J36:L37" si="1">J22/J29</f>
        <v>341.94222222222214</v>
      </c>
      <c r="K36" s="167">
        <f t="shared" si="1"/>
        <v>338.83111111111106</v>
      </c>
      <c r="L36" s="168">
        <f t="shared" si="1"/>
        <v>341.94222222222214</v>
      </c>
      <c r="O36" s="194"/>
      <c r="P36" s="195"/>
      <c r="Q36" s="196"/>
    </row>
    <row r="37" spans="2:17" s="134" customFormat="1">
      <c r="B37" s="170" t="s">
        <v>136</v>
      </c>
      <c r="C37" s="137" t="s">
        <v>135</v>
      </c>
      <c r="D37" s="163">
        <v>300.82599334507734</v>
      </c>
      <c r="E37" s="111">
        <v>283.88</v>
      </c>
      <c r="F37" s="164">
        <f>F23/F30</f>
        <v>302.10818307905686</v>
      </c>
      <c r="G37" s="165">
        <v>409.44</v>
      </c>
      <c r="H37" s="166">
        <f>H36</f>
        <v>307.95999999999998</v>
      </c>
      <c r="I37" s="164">
        <v>286.77322764762465</v>
      </c>
      <c r="J37" s="167">
        <f>J23/J30</f>
        <v>341.9422222222222</v>
      </c>
      <c r="K37" s="167">
        <f t="shared" si="1"/>
        <v>338.83111111111106</v>
      </c>
      <c r="L37" s="168">
        <f t="shared" si="1"/>
        <v>341.9422222222222</v>
      </c>
      <c r="O37" s="161"/>
    </row>
    <row r="38" spans="2:17" s="134" customFormat="1" hidden="1">
      <c r="B38" s="170" t="s">
        <v>137</v>
      </c>
      <c r="C38" s="137" t="s">
        <v>135</v>
      </c>
      <c r="D38" s="142"/>
      <c r="E38" s="139"/>
      <c r="F38" s="164"/>
      <c r="G38" s="165"/>
      <c r="H38" s="166"/>
      <c r="I38" s="164"/>
      <c r="J38" s="167"/>
      <c r="K38" s="167"/>
      <c r="L38" s="168"/>
    </row>
    <row r="39" spans="2:17" s="134" customFormat="1" hidden="1">
      <c r="B39" s="170" t="s">
        <v>129</v>
      </c>
      <c r="C39" s="137" t="s">
        <v>135</v>
      </c>
      <c r="D39" s="142" t="e">
        <v>#DIV/0!</v>
      </c>
      <c r="E39" s="139">
        <v>0</v>
      </c>
      <c r="F39" s="164" t="e">
        <f>F25/F32</f>
        <v>#DIV/0!</v>
      </c>
      <c r="G39" s="165" t="e">
        <f>G25/G32</f>
        <v>#DIV/0!</v>
      </c>
      <c r="H39" s="166"/>
      <c r="I39" s="164" t="e">
        <v>#DIV/0!</v>
      </c>
      <c r="J39" s="167" t="e">
        <f>J25/J32</f>
        <v>#DIV/0!</v>
      </c>
      <c r="K39" s="167" t="e">
        <f>K25/K32</f>
        <v>#DIV/0!</v>
      </c>
      <c r="L39" s="168" t="e">
        <f>L25/L32</f>
        <v>#DIV/0!</v>
      </c>
    </row>
    <row r="40" spans="2:17" s="134" customFormat="1" hidden="1">
      <c r="B40" s="170" t="s">
        <v>130</v>
      </c>
      <c r="C40" s="137" t="s">
        <v>138</v>
      </c>
      <c r="D40" s="142">
        <v>133</v>
      </c>
      <c r="E40" s="139"/>
      <c r="F40" s="164">
        <v>130</v>
      </c>
      <c r="G40" s="165">
        <v>130</v>
      </c>
      <c r="H40" s="166"/>
      <c r="I40" s="164">
        <v>133</v>
      </c>
      <c r="J40" s="167">
        <v>131</v>
      </c>
      <c r="K40" s="167">
        <v>132</v>
      </c>
      <c r="L40" s="168">
        <v>133</v>
      </c>
    </row>
    <row r="41" spans="2:17" s="134" customFormat="1" hidden="1">
      <c r="B41" s="170" t="s">
        <v>131</v>
      </c>
      <c r="C41" s="137" t="s">
        <v>138</v>
      </c>
      <c r="D41" s="142"/>
      <c r="E41" s="139"/>
      <c r="F41" s="164"/>
      <c r="G41" s="165"/>
      <c r="H41" s="166"/>
      <c r="I41" s="164"/>
      <c r="J41" s="167"/>
      <c r="K41" s="167"/>
      <c r="L41" s="168"/>
    </row>
    <row r="42" spans="2:17" s="134" customFormat="1" hidden="1">
      <c r="B42" s="170" t="s">
        <v>132</v>
      </c>
      <c r="C42" s="137" t="s">
        <v>138</v>
      </c>
      <c r="D42" s="142"/>
      <c r="E42" s="139"/>
      <c r="F42" s="164"/>
      <c r="G42" s="165"/>
      <c r="H42" s="166"/>
      <c r="I42" s="164"/>
      <c r="J42" s="167"/>
      <c r="K42" s="167"/>
      <c r="L42" s="168"/>
    </row>
    <row r="43" spans="2:17" s="134" customFormat="1" ht="15.75" customHeight="1">
      <c r="B43" s="136" t="s">
        <v>139</v>
      </c>
      <c r="C43" s="137" t="s">
        <v>140</v>
      </c>
      <c r="D43" s="142">
        <v>650.22034331571729</v>
      </c>
      <c r="E43" s="197">
        <f>E44+E46</f>
        <v>1823</v>
      </c>
      <c r="F43" s="164">
        <f>F44+F46</f>
        <v>1986.2706712898753</v>
      </c>
      <c r="G43" s="165">
        <f>G44+G46</f>
        <v>2280</v>
      </c>
      <c r="H43" s="166">
        <f>H44</f>
        <v>688.9</v>
      </c>
      <c r="I43" s="164">
        <v>1905.4962561596833</v>
      </c>
      <c r="J43" s="167">
        <f>J44+J46</f>
        <v>731.71190306666654</v>
      </c>
      <c r="K43" s="167">
        <f>K44+K46</f>
        <v>725.0545297333332</v>
      </c>
      <c r="L43" s="168">
        <f>L44+L46</f>
        <v>731.71190306666654</v>
      </c>
    </row>
    <row r="44" spans="2:17" s="134" customFormat="1" ht="15" customHeight="1">
      <c r="B44" s="170" t="s">
        <v>136</v>
      </c>
      <c r="C44" s="137" t="s">
        <v>140</v>
      </c>
      <c r="D44" s="142">
        <v>650.22034331571729</v>
      </c>
      <c r="E44" s="139">
        <v>1823</v>
      </c>
      <c r="F44" s="164">
        <f>F37*(F13+F20)/1000</f>
        <v>1986.2706712898753</v>
      </c>
      <c r="G44" s="165">
        <v>2280</v>
      </c>
      <c r="H44" s="166">
        <v>688.9</v>
      </c>
      <c r="I44" s="164">
        <v>1905.4962561596833</v>
      </c>
      <c r="J44" s="167">
        <f>J37*(J12-J19)/1000</f>
        <v>731.71190306666654</v>
      </c>
      <c r="K44" s="167">
        <f>K37*(K12-K19)/1000</f>
        <v>725.0545297333332</v>
      </c>
      <c r="L44" s="168">
        <f>L37*(L12-L19)/1000</f>
        <v>731.71190306666654</v>
      </c>
    </row>
    <row r="45" spans="2:17" s="134" customFormat="1" hidden="1">
      <c r="B45" s="170" t="s">
        <v>137</v>
      </c>
      <c r="C45" s="137" t="s">
        <v>141</v>
      </c>
      <c r="D45" s="142"/>
      <c r="E45" s="139"/>
      <c r="F45" s="164"/>
      <c r="G45" s="165"/>
      <c r="H45" s="166"/>
      <c r="I45" s="164"/>
      <c r="J45" s="164"/>
      <c r="K45" s="164"/>
      <c r="L45" s="169"/>
    </row>
    <row r="46" spans="2:17" s="134" customFormat="1" hidden="1">
      <c r="B46" s="170" t="s">
        <v>129</v>
      </c>
      <c r="C46" s="137" t="s">
        <v>140</v>
      </c>
      <c r="D46" s="142">
        <v>0</v>
      </c>
      <c r="E46" s="139">
        <v>0</v>
      </c>
      <c r="F46" s="164">
        <v>0</v>
      </c>
      <c r="G46" s="165">
        <v>0</v>
      </c>
      <c r="H46" s="166"/>
      <c r="I46" s="164">
        <v>0</v>
      </c>
      <c r="J46" s="164">
        <v>0</v>
      </c>
      <c r="K46" s="164">
        <v>0</v>
      </c>
      <c r="L46" s="169">
        <v>0</v>
      </c>
    </row>
    <row r="47" spans="2:17" s="134" customFormat="1" hidden="1">
      <c r="B47" s="170" t="s">
        <v>130</v>
      </c>
      <c r="C47" s="137" t="s">
        <v>142</v>
      </c>
      <c r="D47" s="142">
        <v>0</v>
      </c>
      <c r="E47" s="139"/>
      <c r="F47" s="164">
        <v>0</v>
      </c>
      <c r="G47" s="165">
        <v>0</v>
      </c>
      <c r="H47" s="166"/>
      <c r="I47" s="164">
        <v>0</v>
      </c>
      <c r="J47" s="164">
        <v>0</v>
      </c>
      <c r="K47" s="164">
        <v>0</v>
      </c>
      <c r="L47" s="169">
        <v>0</v>
      </c>
    </row>
    <row r="48" spans="2:17" s="134" customFormat="1" hidden="1">
      <c r="B48" s="170" t="s">
        <v>131</v>
      </c>
      <c r="C48" s="137" t="s">
        <v>142</v>
      </c>
      <c r="D48" s="142"/>
      <c r="E48" s="139"/>
      <c r="F48" s="164"/>
      <c r="G48" s="165"/>
      <c r="H48" s="166"/>
      <c r="I48" s="164"/>
      <c r="J48" s="164"/>
      <c r="K48" s="164"/>
      <c r="L48" s="169"/>
    </row>
    <row r="49" spans="2:19" s="134" customFormat="1" hidden="1">
      <c r="B49" s="170" t="s">
        <v>132</v>
      </c>
      <c r="C49" s="137" t="s">
        <v>142</v>
      </c>
      <c r="D49" s="142"/>
      <c r="E49" s="139"/>
      <c r="F49" s="164"/>
      <c r="G49" s="165"/>
      <c r="H49" s="166"/>
      <c r="I49" s="164"/>
      <c r="J49" s="164"/>
      <c r="K49" s="164"/>
      <c r="L49" s="169"/>
    </row>
    <row r="50" spans="2:19" s="134" customFormat="1">
      <c r="B50" s="136" t="s">
        <v>143</v>
      </c>
      <c r="C50" s="192" t="s">
        <v>144</v>
      </c>
      <c r="D50" s="142">
        <v>0.2</v>
      </c>
      <c r="E50" s="139">
        <v>0</v>
      </c>
      <c r="F50" s="139">
        <f>F51+F52</f>
        <v>0</v>
      </c>
      <c r="G50" s="198">
        <f>G51+G52</f>
        <v>0</v>
      </c>
      <c r="H50" s="110"/>
      <c r="I50" s="139">
        <v>0</v>
      </c>
      <c r="J50" s="199">
        <f>J51+J52</f>
        <v>0.2</v>
      </c>
      <c r="K50" s="199">
        <f>K51+K52</f>
        <v>0</v>
      </c>
      <c r="L50" s="200">
        <f>L51+L52</f>
        <v>0.2</v>
      </c>
    </row>
    <row r="51" spans="2:19" s="134" customFormat="1">
      <c r="B51" s="170" t="s">
        <v>195</v>
      </c>
      <c r="C51" s="192" t="s">
        <v>144</v>
      </c>
      <c r="D51" s="142">
        <v>0.2</v>
      </c>
      <c r="E51" s="139">
        <v>0</v>
      </c>
      <c r="F51" s="139">
        <v>0</v>
      </c>
      <c r="G51" s="198">
        <v>0</v>
      </c>
      <c r="H51" s="110"/>
      <c r="I51" s="139">
        <v>0</v>
      </c>
      <c r="J51" s="199">
        <v>0.2</v>
      </c>
      <c r="K51" s="199">
        <v>0</v>
      </c>
      <c r="L51" s="200">
        <f>J51</f>
        <v>0.2</v>
      </c>
    </row>
    <row r="52" spans="2:19" s="134" customFormat="1" hidden="1">
      <c r="B52" s="170" t="s">
        <v>145</v>
      </c>
      <c r="C52" s="192" t="s">
        <v>144</v>
      </c>
      <c r="D52" s="142">
        <v>0</v>
      </c>
      <c r="E52" s="139">
        <v>0</v>
      </c>
      <c r="F52" s="139">
        <v>0</v>
      </c>
      <c r="G52" s="198">
        <v>0</v>
      </c>
      <c r="H52" s="110"/>
      <c r="I52" s="139">
        <v>0</v>
      </c>
      <c r="J52" s="139">
        <v>0</v>
      </c>
      <c r="K52" s="139">
        <v>0</v>
      </c>
      <c r="L52" s="201">
        <v>0</v>
      </c>
    </row>
    <row r="53" spans="2:19" s="134" customFormat="1" ht="27" customHeight="1">
      <c r="B53" s="136" t="s">
        <v>146</v>
      </c>
      <c r="C53" s="192" t="s">
        <v>140</v>
      </c>
      <c r="D53" s="142">
        <v>651.52078400234871</v>
      </c>
      <c r="E53" s="197">
        <f>E54+E55</f>
        <v>1823</v>
      </c>
      <c r="F53" s="139">
        <f>F54+F55</f>
        <v>1986.2706712898753</v>
      </c>
      <c r="G53" s="198">
        <f>G54+G55</f>
        <v>2280</v>
      </c>
      <c r="H53" s="110">
        <f>H43</f>
        <v>688.9</v>
      </c>
      <c r="I53" s="139">
        <v>1905.4962561596833</v>
      </c>
      <c r="J53" s="199">
        <f>J54</f>
        <v>733.17532687279981</v>
      </c>
      <c r="K53" s="199">
        <f>K54</f>
        <v>725.0545297333332</v>
      </c>
      <c r="L53" s="200">
        <f>L54</f>
        <v>733.17532687279981</v>
      </c>
      <c r="M53" s="161"/>
      <c r="N53" s="161">
        <f>-J53-H53</f>
        <v>-1422.0753268727999</v>
      </c>
      <c r="O53" s="161">
        <f>J53-H53</f>
        <v>44.275326872799837</v>
      </c>
    </row>
    <row r="54" spans="2:19" s="134" customFormat="1">
      <c r="B54" s="170" t="s">
        <v>136</v>
      </c>
      <c r="C54" s="192" t="s">
        <v>140</v>
      </c>
      <c r="D54" s="142">
        <v>651.52078400234871</v>
      </c>
      <c r="E54" s="139">
        <f>E44</f>
        <v>1823</v>
      </c>
      <c r="F54" s="139">
        <f>F44*1</f>
        <v>1986.2706712898753</v>
      </c>
      <c r="G54" s="198">
        <f>G44*1</f>
        <v>2280</v>
      </c>
      <c r="H54" s="110">
        <f>H43</f>
        <v>688.9</v>
      </c>
      <c r="I54" s="139">
        <v>1905.4962561596833</v>
      </c>
      <c r="J54" s="199">
        <f>J44*1.002</f>
        <v>733.17532687279981</v>
      </c>
      <c r="K54" s="199">
        <f>K44*1</f>
        <v>725.0545297333332</v>
      </c>
      <c r="L54" s="200">
        <f>J54</f>
        <v>733.17532687279981</v>
      </c>
      <c r="O54" s="161"/>
    </row>
    <row r="55" spans="2:19" s="134" customFormat="1" hidden="1">
      <c r="B55" s="170" t="s">
        <v>129</v>
      </c>
      <c r="C55" s="192" t="s">
        <v>140</v>
      </c>
      <c r="D55" s="142">
        <v>3</v>
      </c>
      <c r="E55" s="139">
        <v>0</v>
      </c>
      <c r="F55" s="139">
        <v>0</v>
      </c>
      <c r="G55" s="198">
        <v>0</v>
      </c>
      <c r="H55" s="111"/>
      <c r="I55" s="139">
        <v>3</v>
      </c>
      <c r="J55" s="139">
        <v>1</v>
      </c>
      <c r="K55" s="139">
        <v>2</v>
      </c>
      <c r="L55" s="201">
        <v>3</v>
      </c>
      <c r="O55" s="161"/>
    </row>
    <row r="56" spans="2:19" s="134" customFormat="1">
      <c r="B56" s="136" t="s">
        <v>196</v>
      </c>
      <c r="C56" s="137" t="s">
        <v>147</v>
      </c>
      <c r="D56" s="142">
        <v>1897.1518372881358</v>
      </c>
      <c r="E56" s="197">
        <f>E57</f>
        <v>1354.0839275918815</v>
      </c>
      <c r="F56" s="202">
        <f>F57</f>
        <v>1137.7118644067798</v>
      </c>
      <c r="G56" s="203">
        <f>G57</f>
        <v>1449.4087</v>
      </c>
      <c r="H56" s="204">
        <f>H57</f>
        <v>1694.92</v>
      </c>
      <c r="I56" s="202">
        <v>1694.212</v>
      </c>
      <c r="J56" s="205">
        <f>J57</f>
        <v>1694.9152542372883</v>
      </c>
      <c r="K56" s="202">
        <f>K57</f>
        <v>1612</v>
      </c>
      <c r="L56" s="206">
        <f>L57</f>
        <v>1822.0338983050849</v>
      </c>
    </row>
    <row r="57" spans="2:19" s="134" customFormat="1">
      <c r="B57" s="170" t="s">
        <v>136</v>
      </c>
      <c r="C57" s="137" t="s">
        <v>147</v>
      </c>
      <c r="D57" s="142">
        <v>1897.1518372881358</v>
      </c>
      <c r="E57" s="197">
        <f>E64/E54*1000</f>
        <v>1354.0839275918815</v>
      </c>
      <c r="F57" s="164">
        <f>1250/1.18*1.074</f>
        <v>1137.7118644067798</v>
      </c>
      <c r="G57" s="165">
        <v>1449.4087</v>
      </c>
      <c r="H57" s="166">
        <v>1694.92</v>
      </c>
      <c r="I57" s="164">
        <v>1694.212</v>
      </c>
      <c r="J57" s="167">
        <f>2000/1.18</f>
        <v>1694.9152542372883</v>
      </c>
      <c r="K57" s="164">
        <v>1612</v>
      </c>
      <c r="L57" s="168">
        <f>J57*1.075</f>
        <v>1822.0338983050849</v>
      </c>
    </row>
    <row r="58" spans="2:19" s="134" customFormat="1" hidden="1">
      <c r="B58" s="170" t="s">
        <v>137</v>
      </c>
      <c r="C58" s="137" t="s">
        <v>148</v>
      </c>
      <c r="D58" s="142"/>
      <c r="E58" s="139"/>
      <c r="F58" s="164"/>
      <c r="G58" s="165"/>
      <c r="H58" s="166"/>
      <c r="I58" s="164"/>
      <c r="J58" s="167"/>
      <c r="K58" s="164"/>
      <c r="L58" s="168"/>
    </row>
    <row r="59" spans="2:19" s="134" customFormat="1" hidden="1">
      <c r="B59" s="170" t="s">
        <v>129</v>
      </c>
      <c r="C59" s="137" t="s">
        <v>149</v>
      </c>
      <c r="D59" s="142">
        <v>0</v>
      </c>
      <c r="E59" s="139" t="e">
        <f>1309.6/E55*1000</f>
        <v>#DIV/0!</v>
      </c>
      <c r="F59" s="164">
        <v>0</v>
      </c>
      <c r="G59" s="165">
        <v>0</v>
      </c>
      <c r="H59" s="166"/>
      <c r="I59" s="164">
        <v>0</v>
      </c>
      <c r="J59" s="167">
        <v>0</v>
      </c>
      <c r="K59" s="164">
        <v>0</v>
      </c>
      <c r="L59" s="168">
        <v>0</v>
      </c>
    </row>
    <row r="60" spans="2:19" s="134" customFormat="1" hidden="1">
      <c r="B60" s="170" t="s">
        <v>130</v>
      </c>
      <c r="C60" s="137" t="s">
        <v>150</v>
      </c>
      <c r="D60" s="142">
        <v>0</v>
      </c>
      <c r="E60" s="139"/>
      <c r="F60" s="164">
        <v>0</v>
      </c>
      <c r="G60" s="165">
        <v>0</v>
      </c>
      <c r="H60" s="166"/>
      <c r="I60" s="164">
        <v>0</v>
      </c>
      <c r="J60" s="167">
        <v>0</v>
      </c>
      <c r="K60" s="164">
        <v>0</v>
      </c>
      <c r="L60" s="168">
        <v>0</v>
      </c>
    </row>
    <row r="61" spans="2:19" s="134" customFormat="1" hidden="1">
      <c r="B61" s="170" t="s">
        <v>131</v>
      </c>
      <c r="C61" s="137" t="s">
        <v>151</v>
      </c>
      <c r="D61" s="142"/>
      <c r="E61" s="139"/>
      <c r="F61" s="164"/>
      <c r="G61" s="165"/>
      <c r="H61" s="166"/>
      <c r="I61" s="164"/>
      <c r="J61" s="167"/>
      <c r="K61" s="164"/>
      <c r="L61" s="168"/>
    </row>
    <row r="62" spans="2:19" s="134" customFormat="1" hidden="1">
      <c r="B62" s="170" t="s">
        <v>132</v>
      </c>
      <c r="C62" s="137" t="s">
        <v>151</v>
      </c>
      <c r="D62" s="142"/>
      <c r="E62" s="139"/>
      <c r="F62" s="164"/>
      <c r="G62" s="165"/>
      <c r="H62" s="166"/>
      <c r="I62" s="164"/>
      <c r="J62" s="167"/>
      <c r="K62" s="164"/>
      <c r="L62" s="168"/>
    </row>
    <row r="63" spans="2:19" s="213" customFormat="1" ht="15.75">
      <c r="B63" s="207" t="s">
        <v>152</v>
      </c>
      <c r="C63" s="137" t="s">
        <v>123</v>
      </c>
      <c r="D63" s="142">
        <v>1236.0338524014624</v>
      </c>
      <c r="E63" s="197">
        <f>E66+E64</f>
        <v>2468.4949999999999</v>
      </c>
      <c r="F63" s="208">
        <f>F64+F67+F66</f>
        <v>2259.8037086497102</v>
      </c>
      <c r="G63" s="209">
        <f>G64</f>
        <v>3304.651836</v>
      </c>
      <c r="H63" s="210">
        <f>H64</f>
        <v>1167.6300000000001</v>
      </c>
      <c r="I63" s="208">
        <v>3228.3146231408091</v>
      </c>
      <c r="J63" s="210">
        <f>J64+J67+J66</f>
        <v>1242.6700455471184</v>
      </c>
      <c r="K63" s="208">
        <f>K64+K67+K66</f>
        <v>1168.7879019301331</v>
      </c>
      <c r="L63" s="211">
        <f>L64+L67+L66</f>
        <v>1335.8702989631524</v>
      </c>
      <c r="M63" s="212"/>
      <c r="S63" s="134"/>
    </row>
    <row r="64" spans="2:19" s="134" customFormat="1">
      <c r="B64" s="170" t="s">
        <v>136</v>
      </c>
      <c r="C64" s="137" t="s">
        <v>123</v>
      </c>
      <c r="D64" s="142">
        <v>1236.0338524014624</v>
      </c>
      <c r="E64" s="139">
        <v>2468.4949999999999</v>
      </c>
      <c r="F64" s="164">
        <f>F54*F57/1000</f>
        <v>2259.8037086497102</v>
      </c>
      <c r="G64" s="165">
        <f>G54*G57/1000</f>
        <v>3304.651836</v>
      </c>
      <c r="H64" s="166">
        <v>1167.6300000000001</v>
      </c>
      <c r="I64" s="164">
        <v>3228.3146231408091</v>
      </c>
      <c r="J64" s="167">
        <f>J54*J57/1000</f>
        <v>1242.6700455471184</v>
      </c>
      <c r="K64" s="164">
        <f>K54*K57/1000</f>
        <v>1168.7879019301331</v>
      </c>
      <c r="L64" s="168">
        <f>L54*L57/1000</f>
        <v>1335.8702989631524</v>
      </c>
    </row>
    <row r="65" spans="2:19" s="134" customFormat="1" hidden="1">
      <c r="B65" s="170" t="s">
        <v>137</v>
      </c>
      <c r="C65" s="137" t="s">
        <v>123</v>
      </c>
      <c r="D65" s="142"/>
      <c r="E65" s="139"/>
      <c r="F65" s="164"/>
      <c r="G65" s="165"/>
      <c r="H65" s="166"/>
      <c r="I65" s="164"/>
      <c r="J65" s="167"/>
      <c r="K65" s="164"/>
      <c r="L65" s="168"/>
    </row>
    <row r="66" spans="2:19" s="134" customFormat="1" hidden="1">
      <c r="B66" s="170" t="s">
        <v>129</v>
      </c>
      <c r="C66" s="137" t="s">
        <v>123</v>
      </c>
      <c r="D66" s="142">
        <v>0</v>
      </c>
      <c r="E66" s="139">
        <v>0</v>
      </c>
      <c r="F66" s="164">
        <f>F55*F59/1000</f>
        <v>0</v>
      </c>
      <c r="G66" s="165">
        <f>G55*G59/1000</f>
        <v>0</v>
      </c>
      <c r="H66" s="166"/>
      <c r="I66" s="164">
        <v>0</v>
      </c>
      <c r="J66" s="167">
        <f>J55*J59/1000</f>
        <v>0</v>
      </c>
      <c r="K66" s="164">
        <f>K55*K59/1000</f>
        <v>0</v>
      </c>
      <c r="L66" s="168">
        <f>L55*L59/1000</f>
        <v>0</v>
      </c>
    </row>
    <row r="67" spans="2:19" s="134" customFormat="1" hidden="1">
      <c r="B67" s="170" t="s">
        <v>130</v>
      </c>
      <c r="C67" s="137" t="s">
        <v>123</v>
      </c>
      <c r="D67" s="142">
        <v>0</v>
      </c>
      <c r="E67" s="139"/>
      <c r="F67" s="164">
        <f>F60*F47/1000</f>
        <v>0</v>
      </c>
      <c r="G67" s="165">
        <f>G60*G47/1000</f>
        <v>0</v>
      </c>
      <c r="H67" s="166"/>
      <c r="I67" s="164">
        <v>0</v>
      </c>
      <c r="J67" s="167">
        <f>J60*J47/1000</f>
        <v>0</v>
      </c>
      <c r="K67" s="164">
        <f>K60*K47/1000</f>
        <v>0</v>
      </c>
      <c r="L67" s="168">
        <f>L60*L47/1000</f>
        <v>0</v>
      </c>
    </row>
    <row r="68" spans="2:19" s="134" customFormat="1" hidden="1">
      <c r="B68" s="170" t="s">
        <v>131</v>
      </c>
      <c r="C68" s="137" t="s">
        <v>123</v>
      </c>
      <c r="D68" s="142"/>
      <c r="E68" s="139"/>
      <c r="F68" s="164"/>
      <c r="G68" s="165"/>
      <c r="H68" s="166"/>
      <c r="I68" s="164"/>
      <c r="J68" s="167"/>
      <c r="K68" s="164"/>
      <c r="L68" s="168"/>
    </row>
    <row r="69" spans="2:19" s="134" customFormat="1" hidden="1">
      <c r="B69" s="170" t="s">
        <v>132</v>
      </c>
      <c r="C69" s="137" t="s">
        <v>123</v>
      </c>
      <c r="D69" s="142"/>
      <c r="E69" s="139"/>
      <c r="F69" s="164"/>
      <c r="G69" s="165"/>
      <c r="H69" s="166"/>
      <c r="I69" s="164"/>
      <c r="J69" s="167"/>
      <c r="K69" s="164"/>
      <c r="L69" s="168"/>
    </row>
    <row r="70" spans="2:19" s="134" customFormat="1">
      <c r="B70" s="136" t="s">
        <v>197</v>
      </c>
      <c r="C70" s="192" t="s">
        <v>123</v>
      </c>
      <c r="D70" s="310">
        <v>147.54404826595589</v>
      </c>
      <c r="E70" s="311">
        <f>E71+E72+E74</f>
        <v>388.20499999999998</v>
      </c>
      <c r="F70" s="311">
        <f>F71+F74</f>
        <v>119.98628200543689</v>
      </c>
      <c r="G70" s="312">
        <f>G71+G72+G74+G76+G77</f>
        <v>743.07299999999998</v>
      </c>
      <c r="H70" s="310">
        <f>H71+H74</f>
        <v>639.1</v>
      </c>
      <c r="I70" s="311">
        <v>107.94747137529285</v>
      </c>
      <c r="J70" s="310">
        <f>J71+J74</f>
        <v>163.5</v>
      </c>
      <c r="K70" s="311">
        <f>K71+K74</f>
        <v>74.039437861742456</v>
      </c>
      <c r="L70" s="313">
        <f>L71+L74</f>
        <v>178.0515</v>
      </c>
      <c r="P70" s="161"/>
    </row>
    <row r="71" spans="2:19" s="134" customFormat="1">
      <c r="B71" s="214" t="s">
        <v>153</v>
      </c>
      <c r="C71" s="215" t="s">
        <v>123</v>
      </c>
      <c r="D71" s="167">
        <v>89.724836289667465</v>
      </c>
      <c r="E71" s="164">
        <v>378</v>
      </c>
      <c r="F71" s="164">
        <f>18.48*F54/1000+30*1.5</f>
        <v>81.70628200543689</v>
      </c>
      <c r="G71" s="165">
        <v>708.01499999999999</v>
      </c>
      <c r="H71" s="163">
        <v>114.5</v>
      </c>
      <c r="I71" s="164">
        <v>65.805471375292839</v>
      </c>
      <c r="J71" s="167">
        <v>114.5</v>
      </c>
      <c r="K71" s="164">
        <f>K54/67*1398.4*1.098/1000+708.9*1.098*K54/67/1000</f>
        <v>25.039437861742453</v>
      </c>
      <c r="L71" s="168">
        <f>J71*1.089</f>
        <v>124.6905</v>
      </c>
      <c r="M71" s="803"/>
      <c r="N71" s="804"/>
      <c r="O71" s="804"/>
      <c r="P71" s="135"/>
    </row>
    <row r="72" spans="2:19" s="134" customFormat="1" ht="25.5" hidden="1">
      <c r="B72" s="136" t="s">
        <v>198</v>
      </c>
      <c r="C72" s="215" t="s">
        <v>123</v>
      </c>
      <c r="D72" s="167">
        <v>0</v>
      </c>
      <c r="E72" s="164">
        <v>0</v>
      </c>
      <c r="F72" s="164">
        <v>0</v>
      </c>
      <c r="G72" s="165">
        <v>0</v>
      </c>
      <c r="H72" s="166"/>
      <c r="I72" s="164">
        <v>0</v>
      </c>
      <c r="J72" s="167">
        <v>0</v>
      </c>
      <c r="K72" s="164">
        <v>0</v>
      </c>
      <c r="L72" s="168">
        <v>0</v>
      </c>
    </row>
    <row r="73" spans="2:19" s="134" customFormat="1" ht="12.75" hidden="1" customHeight="1">
      <c r="B73" s="214" t="s">
        <v>154</v>
      </c>
      <c r="C73" s="215" t="s">
        <v>123</v>
      </c>
      <c r="D73" s="167">
        <v>0</v>
      </c>
      <c r="E73" s="164">
        <v>0</v>
      </c>
      <c r="F73" s="164">
        <v>0</v>
      </c>
      <c r="G73" s="165">
        <v>0</v>
      </c>
      <c r="H73" s="166"/>
      <c r="I73" s="164">
        <v>0</v>
      </c>
      <c r="J73" s="167">
        <v>0</v>
      </c>
      <c r="K73" s="164">
        <v>0</v>
      </c>
      <c r="L73" s="168">
        <v>0</v>
      </c>
    </row>
    <row r="74" spans="2:19" s="134" customFormat="1" ht="14.25" customHeight="1">
      <c r="B74" s="136" t="s">
        <v>155</v>
      </c>
      <c r="C74" s="192" t="s">
        <v>123</v>
      </c>
      <c r="D74" s="167">
        <v>57.819211976288436</v>
      </c>
      <c r="E74" s="164">
        <v>10.205</v>
      </c>
      <c r="F74" s="164">
        <f>17.08+21.2</f>
        <v>38.28</v>
      </c>
      <c r="G74" s="165">
        <v>35.058</v>
      </c>
      <c r="H74" s="166">
        <v>524.6</v>
      </c>
      <c r="I74" s="164">
        <v>42.142000000000003</v>
      </c>
      <c r="J74" s="167">
        <f>28.5+20.5</f>
        <v>49</v>
      </c>
      <c r="K74" s="164">
        <f>J74</f>
        <v>49</v>
      </c>
      <c r="L74" s="168">
        <f>K74*1.089</f>
        <v>53.360999999999997</v>
      </c>
      <c r="M74" s="216"/>
      <c r="N74" s="216"/>
    </row>
    <row r="75" spans="2:19" s="134" customFormat="1" hidden="1">
      <c r="B75" s="217" t="s">
        <v>156</v>
      </c>
      <c r="C75" s="192" t="s">
        <v>150</v>
      </c>
      <c r="D75" s="218">
        <v>3</v>
      </c>
      <c r="E75" s="219"/>
      <c r="F75" s="220">
        <v>0</v>
      </c>
      <c r="G75" s="221">
        <v>0</v>
      </c>
      <c r="H75" s="166"/>
      <c r="I75" s="164">
        <v>3</v>
      </c>
      <c r="J75" s="167">
        <v>1</v>
      </c>
      <c r="K75" s="164">
        <v>2</v>
      </c>
      <c r="L75" s="168">
        <v>3</v>
      </c>
    </row>
    <row r="76" spans="2:19" s="134" customFormat="1" ht="14.25" hidden="1" customHeight="1">
      <c r="B76" s="217" t="s">
        <v>157</v>
      </c>
      <c r="C76" s="192" t="s">
        <v>123</v>
      </c>
      <c r="D76" s="218">
        <v>0</v>
      </c>
      <c r="E76" s="219"/>
      <c r="F76" s="220">
        <f>F75*F47/1000</f>
        <v>0</v>
      </c>
      <c r="G76" s="221">
        <f>G75*G47/1000</f>
        <v>0</v>
      </c>
      <c r="H76" s="166"/>
      <c r="I76" s="164">
        <v>0</v>
      </c>
      <c r="J76" s="167">
        <f>J75*J47/1000</f>
        <v>0</v>
      </c>
      <c r="K76" s="164">
        <f>K75*K47/1000</f>
        <v>0</v>
      </c>
      <c r="L76" s="168">
        <f>L75*L47/1000</f>
        <v>0</v>
      </c>
    </row>
    <row r="77" spans="2:19" s="134" customFormat="1" ht="18" hidden="1" customHeight="1">
      <c r="B77" s="222" t="s">
        <v>158</v>
      </c>
      <c r="C77" s="215" t="s">
        <v>123</v>
      </c>
      <c r="D77" s="218">
        <v>3</v>
      </c>
      <c r="E77" s="219"/>
      <c r="F77" s="220">
        <v>0</v>
      </c>
      <c r="G77" s="221">
        <v>0</v>
      </c>
      <c r="H77" s="166"/>
      <c r="I77" s="164">
        <v>3</v>
      </c>
      <c r="J77" s="167">
        <v>1</v>
      </c>
      <c r="K77" s="164">
        <v>2</v>
      </c>
      <c r="L77" s="168">
        <v>3</v>
      </c>
    </row>
    <row r="78" spans="2:19" s="134" customFormat="1" ht="30" customHeight="1" thickBot="1">
      <c r="B78" s="223" t="s">
        <v>159</v>
      </c>
      <c r="C78" s="224" t="s">
        <v>123</v>
      </c>
      <c r="D78" s="150">
        <v>1383.5779006674184</v>
      </c>
      <c r="E78" s="225">
        <f>E63+E70</f>
        <v>2856.7</v>
      </c>
      <c r="F78" s="226">
        <f>F63+F70</f>
        <v>2379.789990655147</v>
      </c>
      <c r="G78" s="227">
        <f>G63+G70</f>
        <v>4047.7248359999999</v>
      </c>
      <c r="H78" s="228">
        <f>H70+H63</f>
        <v>1806.73</v>
      </c>
      <c r="I78" s="226">
        <v>3336.262094516102</v>
      </c>
      <c r="J78" s="228">
        <f>J63+J70</f>
        <v>1406.1700455471184</v>
      </c>
      <c r="K78" s="226">
        <f>K63+K70</f>
        <v>1242.8273397918756</v>
      </c>
      <c r="L78" s="229">
        <f>L63+L70</f>
        <v>1513.9217989631525</v>
      </c>
      <c r="M78" s="161"/>
      <c r="N78" s="161"/>
      <c r="O78" s="161"/>
      <c r="P78" s="161"/>
      <c r="S78" s="184"/>
    </row>
    <row r="79" spans="2:19" s="134" customFormat="1" ht="16.5" thickBot="1">
      <c r="B79" s="805" t="s">
        <v>160</v>
      </c>
      <c r="C79" s="806"/>
      <c r="D79" s="806"/>
      <c r="E79" s="806"/>
      <c r="F79" s="806"/>
      <c r="G79" s="806"/>
      <c r="H79" s="806"/>
      <c r="I79" s="806"/>
      <c r="J79" s="806"/>
      <c r="K79" s="806"/>
      <c r="L79" s="807"/>
    </row>
    <row r="80" spans="2:19" s="134" customFormat="1" ht="16.5" customHeight="1">
      <c r="B80" s="230" t="s">
        <v>161</v>
      </c>
      <c r="C80" s="231" t="s">
        <v>162</v>
      </c>
      <c r="D80" s="232">
        <v>57.98</v>
      </c>
      <c r="E80" s="233">
        <f>SUM(E81:E84)</f>
        <v>250.774</v>
      </c>
      <c r="F80" s="234">
        <f>SUM(F81:F84)</f>
        <v>250.774</v>
      </c>
      <c r="G80" s="235">
        <f>SUM(G81:G84)</f>
        <v>265.14800000000002</v>
      </c>
      <c r="H80" s="236">
        <f>H83</f>
        <v>61.497</v>
      </c>
      <c r="I80" s="234">
        <v>248.303</v>
      </c>
      <c r="J80" s="236">
        <f>J83</f>
        <v>55.347199999999994</v>
      </c>
      <c r="K80" s="236">
        <f>K83</f>
        <v>55.347199999999994</v>
      </c>
      <c r="L80" s="237">
        <f>L83</f>
        <v>55.347199999999994</v>
      </c>
      <c r="N80" s="134">
        <v>9460</v>
      </c>
      <c r="O80" s="134">
        <v>2.57789</v>
      </c>
      <c r="P80" s="134">
        <f>N80*O80</f>
        <v>24386.839400000001</v>
      </c>
    </row>
    <row r="81" spans="2:16" s="134" customFormat="1" hidden="1">
      <c r="B81" s="146" t="s">
        <v>163</v>
      </c>
      <c r="C81" s="137" t="s">
        <v>162</v>
      </c>
      <c r="D81" s="238">
        <v>0</v>
      </c>
      <c r="E81" s="239">
        <v>0</v>
      </c>
      <c r="F81" s="240">
        <v>0</v>
      </c>
      <c r="G81" s="241">
        <v>0</v>
      </c>
      <c r="H81" s="242"/>
      <c r="I81" s="240">
        <v>0</v>
      </c>
      <c r="J81" s="242">
        <v>0</v>
      </c>
      <c r="K81" s="242">
        <v>0</v>
      </c>
      <c r="L81" s="243">
        <v>0</v>
      </c>
      <c r="P81" s="134">
        <f t="shared" ref="P81:P102" si="2">N81*O81</f>
        <v>0</v>
      </c>
    </row>
    <row r="82" spans="2:16" s="134" customFormat="1" hidden="1">
      <c r="B82" s="146" t="s">
        <v>167</v>
      </c>
      <c r="C82" s="137" t="s">
        <v>162</v>
      </c>
      <c r="D82" s="238">
        <v>0</v>
      </c>
      <c r="E82" s="239">
        <v>0</v>
      </c>
      <c r="F82" s="240">
        <v>0</v>
      </c>
      <c r="G82" s="241">
        <v>0</v>
      </c>
      <c r="H82" s="242"/>
      <c r="I82" s="240">
        <v>0</v>
      </c>
      <c r="J82" s="242">
        <v>0</v>
      </c>
      <c r="K82" s="242">
        <v>0</v>
      </c>
      <c r="L82" s="243">
        <v>0</v>
      </c>
      <c r="P82" s="134">
        <f t="shared" si="2"/>
        <v>0</v>
      </c>
    </row>
    <row r="83" spans="2:16" s="134" customFormat="1" ht="16.5" customHeight="1">
      <c r="B83" s="146" t="s">
        <v>168</v>
      </c>
      <c r="C83" s="137" t="s">
        <v>162</v>
      </c>
      <c r="D83" s="238">
        <v>57.98</v>
      </c>
      <c r="E83" s="239">
        <v>250.774</v>
      </c>
      <c r="F83" s="240">
        <v>250.774</v>
      </c>
      <c r="G83" s="241">
        <v>265.14800000000002</v>
      </c>
      <c r="H83" s="242">
        <v>61.497</v>
      </c>
      <c r="I83" s="240">
        <v>248.303</v>
      </c>
      <c r="J83" s="242">
        <f>N110/1000</f>
        <v>55.347199999999994</v>
      </c>
      <c r="K83" s="242">
        <f>J83</f>
        <v>55.347199999999994</v>
      </c>
      <c r="L83" s="243">
        <f>K83</f>
        <v>55.347199999999994</v>
      </c>
      <c r="N83" s="134">
        <v>6535</v>
      </c>
      <c r="O83" s="134">
        <v>2.95038</v>
      </c>
      <c r="P83" s="134">
        <f t="shared" si="2"/>
        <v>19280.7333</v>
      </c>
    </row>
    <row r="84" spans="2:16" s="134" customFormat="1" hidden="1">
      <c r="B84" s="146" t="s">
        <v>164</v>
      </c>
      <c r="C84" s="137" t="s">
        <v>162</v>
      </c>
      <c r="D84" s="238">
        <v>3</v>
      </c>
      <c r="E84" s="244">
        <v>0</v>
      </c>
      <c r="F84" s="245">
        <v>0</v>
      </c>
      <c r="G84" s="246">
        <v>0</v>
      </c>
      <c r="H84" s="247"/>
      <c r="I84" s="245">
        <v>3</v>
      </c>
      <c r="J84" s="245">
        <v>1</v>
      </c>
      <c r="K84" s="245">
        <v>2</v>
      </c>
      <c r="L84" s="292">
        <v>3</v>
      </c>
      <c r="P84" s="134">
        <f t="shared" si="2"/>
        <v>0</v>
      </c>
    </row>
    <row r="85" spans="2:16" s="134" customFormat="1" ht="18.75" customHeight="1">
      <c r="B85" s="248" t="s">
        <v>165</v>
      </c>
      <c r="C85" s="192" t="s">
        <v>166</v>
      </c>
      <c r="D85" s="249">
        <v>2.780586</v>
      </c>
      <c r="E85" s="250">
        <f>(E81*E86+E82*E87+E83*E88+E84*E89)/E80</f>
        <v>1.1599999999999999</v>
      </c>
      <c r="F85" s="251">
        <f>(F81*F86+F82*F87+F83*F88+F84*F89)/F80</f>
        <v>2.091039678</v>
      </c>
      <c r="G85" s="252">
        <f>(G81*G86+G82*G87+G83*G88+G84*G89)/G80</f>
        <v>2.12</v>
      </c>
      <c r="H85" s="249">
        <f>H88</f>
        <v>3.1269999999999998</v>
      </c>
      <c r="I85" s="251">
        <v>2.5405789970115809</v>
      </c>
      <c r="J85" s="249">
        <f>J88</f>
        <v>2.6805411280064759</v>
      </c>
      <c r="K85" s="249">
        <f>K88</f>
        <v>2.8949844182469944</v>
      </c>
      <c r="L85" s="253">
        <f>L88</f>
        <v>2.9566368641911427</v>
      </c>
      <c r="N85" s="134">
        <v>7498</v>
      </c>
      <c r="O85" s="134">
        <v>2.8454299999999999</v>
      </c>
      <c r="P85" s="134">
        <f t="shared" si="2"/>
        <v>21335.03414</v>
      </c>
    </row>
    <row r="86" spans="2:16" s="134" customFormat="1" hidden="1">
      <c r="B86" s="146" t="s">
        <v>163</v>
      </c>
      <c r="C86" s="192" t="s">
        <v>166</v>
      </c>
      <c r="D86" s="254">
        <v>0</v>
      </c>
      <c r="E86" s="255">
        <v>0</v>
      </c>
      <c r="F86" s="255">
        <v>0</v>
      </c>
      <c r="G86" s="256">
        <v>0</v>
      </c>
      <c r="H86" s="254"/>
      <c r="I86" s="255">
        <v>0</v>
      </c>
      <c r="J86" s="254">
        <v>0</v>
      </c>
      <c r="K86" s="254">
        <v>0</v>
      </c>
      <c r="L86" s="257">
        <v>0</v>
      </c>
      <c r="P86" s="134">
        <f t="shared" si="2"/>
        <v>0</v>
      </c>
    </row>
    <row r="87" spans="2:16" s="134" customFormat="1" hidden="1">
      <c r="B87" s="146" t="s">
        <v>167</v>
      </c>
      <c r="C87" s="192" t="s">
        <v>166</v>
      </c>
      <c r="D87" s="254">
        <v>0</v>
      </c>
      <c r="E87" s="255">
        <v>0</v>
      </c>
      <c r="F87" s="255">
        <v>0</v>
      </c>
      <c r="G87" s="256">
        <v>0</v>
      </c>
      <c r="H87" s="254"/>
      <c r="I87" s="255">
        <v>0</v>
      </c>
      <c r="J87" s="254">
        <v>0</v>
      </c>
      <c r="K87" s="254">
        <v>0</v>
      </c>
      <c r="L87" s="257">
        <v>0</v>
      </c>
      <c r="P87" s="134">
        <f t="shared" si="2"/>
        <v>0</v>
      </c>
    </row>
    <row r="88" spans="2:16" s="134" customFormat="1">
      <c r="B88" s="146" t="s">
        <v>168</v>
      </c>
      <c r="C88" s="192" t="s">
        <v>166</v>
      </c>
      <c r="D88" s="249">
        <v>2.780586</v>
      </c>
      <c r="E88" s="250">
        <v>1.1599999999999999</v>
      </c>
      <c r="F88" s="255">
        <f>(F83*0.7*1.75217*1.08*1.15+F80*0.3*1.75217*1.08)/F80</f>
        <v>2.091039678</v>
      </c>
      <c r="G88" s="256">
        <v>2.12</v>
      </c>
      <c r="H88" s="254">
        <v>3.1269999999999998</v>
      </c>
      <c r="I88" s="255">
        <v>2.5405789970115809</v>
      </c>
      <c r="J88" s="254">
        <f>O104</f>
        <v>2.6805411280064759</v>
      </c>
      <c r="K88" s="254">
        <f>J88*1.08</f>
        <v>2.8949844182469944</v>
      </c>
      <c r="L88" s="257">
        <f>J88*1.103</f>
        <v>2.9566368641911427</v>
      </c>
      <c r="N88" s="134">
        <v>7094</v>
      </c>
      <c r="O88" s="134">
        <v>2.5710899999999999</v>
      </c>
      <c r="P88" s="134">
        <f t="shared" si="2"/>
        <v>18239.312459999997</v>
      </c>
    </row>
    <row r="89" spans="2:16" s="134" customFormat="1" hidden="1">
      <c r="B89" s="146" t="s">
        <v>164</v>
      </c>
      <c r="C89" s="192" t="s">
        <v>166</v>
      </c>
      <c r="D89" s="254">
        <v>3</v>
      </c>
      <c r="E89" s="255">
        <v>0</v>
      </c>
      <c r="F89" s="255">
        <v>0</v>
      </c>
      <c r="G89" s="256">
        <v>0</v>
      </c>
      <c r="H89" s="254"/>
      <c r="I89" s="255">
        <v>3</v>
      </c>
      <c r="J89" s="254">
        <v>1</v>
      </c>
      <c r="K89" s="254">
        <v>2</v>
      </c>
      <c r="L89" s="257">
        <v>3</v>
      </c>
      <c r="P89" s="134">
        <f t="shared" si="2"/>
        <v>0</v>
      </c>
    </row>
    <row r="90" spans="2:16" s="134" customFormat="1" hidden="1">
      <c r="B90" s="146" t="s">
        <v>169</v>
      </c>
      <c r="C90" s="192" t="s">
        <v>170</v>
      </c>
      <c r="D90" s="254">
        <v>0</v>
      </c>
      <c r="E90" s="255">
        <f>E91+E92+E93+E94</f>
        <v>0</v>
      </c>
      <c r="F90" s="255">
        <f>F91+F92+F93+F94</f>
        <v>0</v>
      </c>
      <c r="G90" s="256">
        <f>G91+G92+G93+G94</f>
        <v>0</v>
      </c>
      <c r="H90" s="254"/>
      <c r="I90" s="255">
        <v>0</v>
      </c>
      <c r="J90" s="254">
        <f>J91+J92+J93+J94</f>
        <v>0</v>
      </c>
      <c r="K90" s="254">
        <f>K91+K92+K93+K94</f>
        <v>0</v>
      </c>
      <c r="L90" s="257">
        <f>L91+L92+L93+L94</f>
        <v>0</v>
      </c>
      <c r="P90" s="134">
        <f t="shared" si="2"/>
        <v>0</v>
      </c>
    </row>
    <row r="91" spans="2:16" s="134" customFormat="1" hidden="1">
      <c r="B91" s="146" t="s">
        <v>163</v>
      </c>
      <c r="C91" s="192" t="s">
        <v>170</v>
      </c>
      <c r="D91" s="254">
        <v>0</v>
      </c>
      <c r="E91" s="255">
        <v>0</v>
      </c>
      <c r="F91" s="255">
        <v>0</v>
      </c>
      <c r="G91" s="256">
        <v>0</v>
      </c>
      <c r="H91" s="254"/>
      <c r="I91" s="255">
        <v>0</v>
      </c>
      <c r="J91" s="254">
        <v>0</v>
      </c>
      <c r="K91" s="254">
        <v>0</v>
      </c>
      <c r="L91" s="257">
        <v>0</v>
      </c>
      <c r="P91" s="134">
        <f t="shared" si="2"/>
        <v>0</v>
      </c>
    </row>
    <row r="92" spans="2:16" s="134" customFormat="1" hidden="1">
      <c r="B92" s="146" t="s">
        <v>167</v>
      </c>
      <c r="C92" s="192" t="s">
        <v>170</v>
      </c>
      <c r="D92" s="254">
        <v>0</v>
      </c>
      <c r="E92" s="255">
        <v>0</v>
      </c>
      <c r="F92" s="255">
        <v>0</v>
      </c>
      <c r="G92" s="256">
        <v>0</v>
      </c>
      <c r="H92" s="254"/>
      <c r="I92" s="255">
        <v>0</v>
      </c>
      <c r="J92" s="254">
        <v>0</v>
      </c>
      <c r="K92" s="254">
        <v>0</v>
      </c>
      <c r="L92" s="257">
        <v>0</v>
      </c>
      <c r="P92" s="134">
        <f t="shared" si="2"/>
        <v>0</v>
      </c>
    </row>
    <row r="93" spans="2:16" s="134" customFormat="1" hidden="1">
      <c r="B93" s="146" t="s">
        <v>168</v>
      </c>
      <c r="C93" s="192" t="s">
        <v>170</v>
      </c>
      <c r="D93" s="254">
        <v>0</v>
      </c>
      <c r="E93" s="255">
        <v>0</v>
      </c>
      <c r="F93" s="255">
        <v>0</v>
      </c>
      <c r="G93" s="256">
        <v>0</v>
      </c>
      <c r="H93" s="254"/>
      <c r="I93" s="255">
        <v>0</v>
      </c>
      <c r="J93" s="254">
        <v>0</v>
      </c>
      <c r="K93" s="254">
        <v>0</v>
      </c>
      <c r="L93" s="257">
        <v>0</v>
      </c>
      <c r="P93" s="134">
        <f t="shared" si="2"/>
        <v>0</v>
      </c>
    </row>
    <row r="94" spans="2:16" s="134" customFormat="1" hidden="1">
      <c r="B94" s="146" t="s">
        <v>164</v>
      </c>
      <c r="C94" s="192" t="s">
        <v>170</v>
      </c>
      <c r="D94" s="254">
        <v>0</v>
      </c>
      <c r="E94" s="255">
        <v>0</v>
      </c>
      <c r="F94" s="255">
        <v>0</v>
      </c>
      <c r="G94" s="256">
        <v>0</v>
      </c>
      <c r="H94" s="254"/>
      <c r="I94" s="255">
        <v>0</v>
      </c>
      <c r="J94" s="254">
        <v>0</v>
      </c>
      <c r="K94" s="254">
        <v>0</v>
      </c>
      <c r="L94" s="257">
        <v>0</v>
      </c>
      <c r="P94" s="134">
        <f t="shared" si="2"/>
        <v>0</v>
      </c>
    </row>
    <row r="95" spans="2:16" s="134" customFormat="1" hidden="1">
      <c r="B95" s="248" t="s">
        <v>199</v>
      </c>
      <c r="C95" s="192" t="s">
        <v>166</v>
      </c>
      <c r="D95" s="249" t="e">
        <v>#DIV/0!</v>
      </c>
      <c r="E95" s="250" t="e">
        <f>(E91*E96+E92*E97+E93*E98+E94*E99)/E90</f>
        <v>#DIV/0!</v>
      </c>
      <c r="F95" s="251" t="e">
        <f>(F91*F96+F92*F97+F93*F98+F94*F99)/F90</f>
        <v>#DIV/0!</v>
      </c>
      <c r="G95" s="252" t="e">
        <f>(G91*G96+G92*G97+G93*G98+G94*G99)/G90</f>
        <v>#DIV/0!</v>
      </c>
      <c r="H95" s="249"/>
      <c r="I95" s="251" t="e">
        <v>#DIV/0!</v>
      </c>
      <c r="J95" s="249" t="e">
        <f>(J91*J96+J92*J97+J93*J98+J94*J99)/J90</f>
        <v>#DIV/0!</v>
      </c>
      <c r="K95" s="249" t="e">
        <f>(K91*K96+K92*K97+K93*K98+K94*K99)/K90</f>
        <v>#DIV/0!</v>
      </c>
      <c r="L95" s="253" t="e">
        <f>(L91*L96+L92*L97+L93*L98+L94*L99)/L90</f>
        <v>#DIV/0!</v>
      </c>
      <c r="P95" s="134">
        <f t="shared" si="2"/>
        <v>0</v>
      </c>
    </row>
    <row r="96" spans="2:16" s="134" customFormat="1" hidden="1">
      <c r="B96" s="146" t="s">
        <v>163</v>
      </c>
      <c r="C96" s="192" t="s">
        <v>166</v>
      </c>
      <c r="D96" s="249">
        <v>0</v>
      </c>
      <c r="E96" s="250">
        <v>0</v>
      </c>
      <c r="F96" s="255">
        <v>0</v>
      </c>
      <c r="G96" s="256">
        <v>0</v>
      </c>
      <c r="H96" s="254"/>
      <c r="I96" s="255">
        <v>0</v>
      </c>
      <c r="J96" s="254">
        <v>0</v>
      </c>
      <c r="K96" s="254">
        <v>0</v>
      </c>
      <c r="L96" s="257">
        <v>0</v>
      </c>
      <c r="P96" s="134">
        <f t="shared" si="2"/>
        <v>0</v>
      </c>
    </row>
    <row r="97" spans="2:16" s="134" customFormat="1" hidden="1">
      <c r="B97" s="146" t="s">
        <v>167</v>
      </c>
      <c r="C97" s="192" t="s">
        <v>166</v>
      </c>
      <c r="D97" s="249">
        <v>0</v>
      </c>
      <c r="E97" s="250">
        <v>0</v>
      </c>
      <c r="F97" s="255">
        <v>0</v>
      </c>
      <c r="G97" s="256">
        <v>0</v>
      </c>
      <c r="H97" s="254"/>
      <c r="I97" s="255">
        <v>0</v>
      </c>
      <c r="J97" s="254">
        <v>0</v>
      </c>
      <c r="K97" s="254">
        <v>0</v>
      </c>
      <c r="L97" s="257">
        <v>0</v>
      </c>
      <c r="P97" s="134">
        <f t="shared" si="2"/>
        <v>0</v>
      </c>
    </row>
    <row r="98" spans="2:16" s="134" customFormat="1" hidden="1">
      <c r="B98" s="146" t="s">
        <v>168</v>
      </c>
      <c r="C98" s="192" t="s">
        <v>166</v>
      </c>
      <c r="D98" s="249">
        <v>0</v>
      </c>
      <c r="E98" s="250">
        <v>0</v>
      </c>
      <c r="F98" s="255">
        <v>0</v>
      </c>
      <c r="G98" s="256">
        <v>0</v>
      </c>
      <c r="H98" s="254"/>
      <c r="I98" s="255">
        <v>0</v>
      </c>
      <c r="J98" s="254">
        <v>0</v>
      </c>
      <c r="K98" s="254">
        <v>0</v>
      </c>
      <c r="L98" s="257">
        <v>0</v>
      </c>
      <c r="P98" s="134">
        <f t="shared" si="2"/>
        <v>0</v>
      </c>
    </row>
    <row r="99" spans="2:16" s="134" customFormat="1" hidden="1">
      <c r="B99" s="146" t="s">
        <v>164</v>
      </c>
      <c r="C99" s="192" t="s">
        <v>166</v>
      </c>
      <c r="D99" s="249">
        <v>0</v>
      </c>
      <c r="E99" s="250">
        <v>0</v>
      </c>
      <c r="F99" s="255">
        <v>0</v>
      </c>
      <c r="G99" s="256">
        <v>0</v>
      </c>
      <c r="H99" s="254"/>
      <c r="I99" s="255">
        <v>0</v>
      </c>
      <c r="J99" s="254">
        <v>0</v>
      </c>
      <c r="K99" s="254">
        <v>0</v>
      </c>
      <c r="L99" s="257">
        <v>0</v>
      </c>
      <c r="P99" s="134">
        <f t="shared" si="2"/>
        <v>0</v>
      </c>
    </row>
    <row r="100" spans="2:16" s="134" customFormat="1" hidden="1">
      <c r="B100" s="248" t="s">
        <v>200</v>
      </c>
      <c r="C100" s="192" t="s">
        <v>166</v>
      </c>
      <c r="D100" s="249">
        <v>0</v>
      </c>
      <c r="E100" s="250">
        <v>0</v>
      </c>
      <c r="F100" s="255">
        <v>0</v>
      </c>
      <c r="G100" s="256">
        <v>0</v>
      </c>
      <c r="H100" s="254"/>
      <c r="I100" s="255">
        <v>0</v>
      </c>
      <c r="J100" s="254">
        <v>0</v>
      </c>
      <c r="K100" s="254">
        <v>0</v>
      </c>
      <c r="L100" s="257">
        <v>0</v>
      </c>
      <c r="P100" s="134">
        <f t="shared" si="2"/>
        <v>0</v>
      </c>
    </row>
    <row r="101" spans="2:16" s="134" customFormat="1" hidden="1">
      <c r="B101" s="258" t="s">
        <v>201</v>
      </c>
      <c r="C101" s="192" t="s">
        <v>166</v>
      </c>
      <c r="D101" s="249">
        <v>2.780586</v>
      </c>
      <c r="E101" s="251">
        <v>1.1599999999999999</v>
      </c>
      <c r="F101" s="255">
        <f>F103/F80</f>
        <v>2.091039678</v>
      </c>
      <c r="G101" s="256">
        <f>G103/G80</f>
        <v>2.12</v>
      </c>
      <c r="H101" s="254">
        <v>3.4</v>
      </c>
      <c r="I101" s="255">
        <v>2.5405789970115809</v>
      </c>
      <c r="J101" s="254">
        <f>J103/J80</f>
        <v>2.6805411280064759</v>
      </c>
      <c r="K101" s="254">
        <f>K103/K80</f>
        <v>2.8949844182469944</v>
      </c>
      <c r="L101" s="257">
        <f>L103/L80</f>
        <v>2.9566368641911427</v>
      </c>
      <c r="P101" s="134">
        <f t="shared" si="2"/>
        <v>0</v>
      </c>
    </row>
    <row r="102" spans="2:16" s="134" customFormat="1">
      <c r="B102" s="258" t="s">
        <v>171</v>
      </c>
      <c r="C102" s="192" t="s">
        <v>172</v>
      </c>
      <c r="D102" s="249">
        <v>26.368568738829286</v>
      </c>
      <c r="E102" s="251">
        <f>E80/E12*1000</f>
        <v>39.060153889286937</v>
      </c>
      <c r="F102" s="259">
        <f>F80/F12*1000</f>
        <v>37.859708293011387</v>
      </c>
      <c r="G102" s="260">
        <f>G80/G12*1000</f>
        <v>47.609710550887023</v>
      </c>
      <c r="H102" s="261">
        <f>H80/H12*1000</f>
        <v>27.490835940992401</v>
      </c>
      <c r="I102" s="259">
        <v>37.095140490731559</v>
      </c>
      <c r="J102" s="261">
        <f>J80/J12*1000</f>
        <v>25.425011943699236</v>
      </c>
      <c r="K102" s="261">
        <f>K80/K12*1000</f>
        <v>25.864748793150987</v>
      </c>
      <c r="L102" s="262">
        <f>L80/L12*1000</f>
        <v>25.425011943699236</v>
      </c>
      <c r="N102" s="134">
        <v>4005</v>
      </c>
      <c r="O102" s="134">
        <v>2.36788</v>
      </c>
      <c r="P102" s="134">
        <f t="shared" si="2"/>
        <v>9483.3593999999994</v>
      </c>
    </row>
    <row r="103" spans="2:16" s="134" customFormat="1" ht="15" customHeight="1" thickBot="1">
      <c r="B103" s="263" t="s">
        <v>173</v>
      </c>
      <c r="C103" s="224" t="s">
        <v>123</v>
      </c>
      <c r="D103" s="150">
        <v>161.21837628</v>
      </c>
      <c r="E103" s="151">
        <v>290.89780000000002</v>
      </c>
      <c r="F103" s="264">
        <f>F83*F88</f>
        <v>524.37838421077197</v>
      </c>
      <c r="G103" s="265">
        <f>G80*(G85+G100)</f>
        <v>562.11376000000007</v>
      </c>
      <c r="H103" s="266">
        <v>192.32</v>
      </c>
      <c r="I103" s="264">
        <v>630.83338669496652</v>
      </c>
      <c r="J103" s="266">
        <f>J83*J88</f>
        <v>148.36044592000002</v>
      </c>
      <c r="K103" s="266">
        <f>K83*K88</f>
        <v>160.22928159360004</v>
      </c>
      <c r="L103" s="267">
        <f>L83*L88</f>
        <v>163.64157184976</v>
      </c>
      <c r="M103" s="133"/>
      <c r="O103" s="133"/>
      <c r="P103" s="133"/>
    </row>
    <row r="104" spans="2:16" s="134" customFormat="1" ht="18.75" customHeight="1" thickBot="1">
      <c r="B104" s="808" t="s">
        <v>174</v>
      </c>
      <c r="C104" s="809"/>
      <c r="D104" s="809"/>
      <c r="E104" s="809"/>
      <c r="F104" s="809"/>
      <c r="G104" s="809"/>
      <c r="H104" s="809"/>
      <c r="I104" s="809"/>
      <c r="J104" s="809"/>
      <c r="K104" s="809"/>
      <c r="L104" s="810"/>
      <c r="N104" s="134">
        <f>SUM(N80:N102)</f>
        <v>34592</v>
      </c>
      <c r="O104" s="134">
        <f>P104/N104</f>
        <v>2.6805411280064759</v>
      </c>
      <c r="P104" s="134">
        <f>SUM(P80:P102)</f>
        <v>92725.27870000001</v>
      </c>
    </row>
    <row r="105" spans="2:16" s="134" customFormat="1">
      <c r="B105" s="127" t="s">
        <v>175</v>
      </c>
      <c r="C105" s="128" t="s">
        <v>142</v>
      </c>
      <c r="D105" s="268">
        <v>0.53775150000000005</v>
      </c>
      <c r="E105" s="130">
        <f>E107</f>
        <v>26.6843</v>
      </c>
      <c r="F105" s="130">
        <v>18.818008333333331</v>
      </c>
      <c r="G105" s="269">
        <f>G107</f>
        <v>24.220300000000002</v>
      </c>
      <c r="H105" s="293">
        <f>H107</f>
        <v>0.6855</v>
      </c>
      <c r="I105" s="131">
        <v>3.8508599999999999</v>
      </c>
      <c r="J105" s="131">
        <f>J107</f>
        <v>0.20724000000000004</v>
      </c>
      <c r="K105" s="131">
        <f>K107</f>
        <v>0.20724000000000004</v>
      </c>
      <c r="L105" s="132">
        <f>L107</f>
        <v>0.20724000000000004</v>
      </c>
    </row>
    <row r="106" spans="2:16" s="134" customFormat="1" hidden="1">
      <c r="B106" s="136" t="s">
        <v>202</v>
      </c>
      <c r="C106" s="137" t="s">
        <v>142</v>
      </c>
      <c r="D106" s="142">
        <v>3</v>
      </c>
      <c r="E106" s="139">
        <v>0</v>
      </c>
      <c r="F106" s="139">
        <v>0</v>
      </c>
      <c r="G106" s="270">
        <v>0</v>
      </c>
      <c r="H106" s="294"/>
      <c r="I106" s="140">
        <v>3</v>
      </c>
      <c r="J106" s="140">
        <v>1</v>
      </c>
      <c r="K106" s="140">
        <v>2</v>
      </c>
      <c r="L106" s="141">
        <v>3</v>
      </c>
      <c r="O106" s="134">
        <f>92.7/77.3</f>
        <v>1.1992238033635187</v>
      </c>
    </row>
    <row r="107" spans="2:16" s="134" customFormat="1">
      <c r="B107" s="136" t="s">
        <v>203</v>
      </c>
      <c r="C107" s="137" t="s">
        <v>142</v>
      </c>
      <c r="D107" s="142">
        <v>0.53775150000000005</v>
      </c>
      <c r="E107" s="139">
        <v>26.6843</v>
      </c>
      <c r="F107" s="140">
        <v>18.818008333333331</v>
      </c>
      <c r="G107" s="270">
        <v>24.220300000000002</v>
      </c>
      <c r="H107" s="294">
        <v>0.6855</v>
      </c>
      <c r="I107" s="140">
        <v>3.8508599999999999</v>
      </c>
      <c r="J107" s="140">
        <f>0.1338+(0.0132+0.0193+0.0035)*12*0.17</f>
        <v>0.20724000000000004</v>
      </c>
      <c r="K107" s="140">
        <f>J107</f>
        <v>0.20724000000000004</v>
      </c>
      <c r="L107" s="141">
        <f>J107</f>
        <v>0.20724000000000004</v>
      </c>
      <c r="N107" s="134">
        <f>N104/5</f>
        <v>6918.4</v>
      </c>
    </row>
    <row r="108" spans="2:16" s="134" customFormat="1">
      <c r="B108" s="136" t="s">
        <v>204</v>
      </c>
      <c r="C108" s="137" t="s">
        <v>142</v>
      </c>
      <c r="D108" s="142">
        <v>0.13600000000000001</v>
      </c>
      <c r="E108" s="139">
        <v>0.13600000000000001</v>
      </c>
      <c r="F108" s="140">
        <v>0.13600000000000001</v>
      </c>
      <c r="G108" s="270">
        <v>0.13600000000000001</v>
      </c>
      <c r="H108" s="294">
        <v>0</v>
      </c>
      <c r="I108" s="140">
        <v>0.13600000000000001</v>
      </c>
      <c r="J108" s="140">
        <v>0</v>
      </c>
      <c r="K108" s="140">
        <v>0.13600000000000001</v>
      </c>
      <c r="L108" s="141">
        <v>0.13600000000000001</v>
      </c>
    </row>
    <row r="109" spans="2:16" s="134" customFormat="1" ht="15.75" hidden="1" customHeight="1">
      <c r="B109" s="136" t="s">
        <v>205</v>
      </c>
      <c r="C109" s="137" t="s">
        <v>176</v>
      </c>
      <c r="D109" s="142">
        <v>0</v>
      </c>
      <c r="E109" s="139">
        <v>0</v>
      </c>
      <c r="F109" s="139">
        <v>0</v>
      </c>
      <c r="G109" s="270">
        <v>0</v>
      </c>
      <c r="H109" s="294"/>
      <c r="I109" s="140">
        <v>0</v>
      </c>
      <c r="J109" s="140">
        <v>0</v>
      </c>
      <c r="K109" s="140">
        <v>0</v>
      </c>
      <c r="L109" s="141">
        <v>0</v>
      </c>
    </row>
    <row r="110" spans="2:16" s="134" customFormat="1">
      <c r="B110" s="136" t="s">
        <v>206</v>
      </c>
      <c r="C110" s="137" t="s">
        <v>176</v>
      </c>
      <c r="D110" s="142">
        <v>25.177530000000001</v>
      </c>
      <c r="E110" s="139">
        <v>4.6900000000000004</v>
      </c>
      <c r="F110" s="139">
        <v>6.1754999999999995</v>
      </c>
      <c r="G110" s="270">
        <v>5.51</v>
      </c>
      <c r="H110" s="294">
        <v>23.73</v>
      </c>
      <c r="I110" s="140">
        <v>7.0767507999999992</v>
      </c>
      <c r="J110" s="140">
        <v>25.15</v>
      </c>
      <c r="K110" s="140">
        <f>J110*1.06</f>
        <v>26.658999999999999</v>
      </c>
      <c r="L110" s="141">
        <f>J110*1.128</f>
        <v>28.369199999999996</v>
      </c>
      <c r="N110" s="134">
        <f>N107*8</f>
        <v>55347.199999999997</v>
      </c>
    </row>
    <row r="111" spans="2:16" s="134" customFormat="1">
      <c r="B111" s="136" t="s">
        <v>207</v>
      </c>
      <c r="C111" s="137" t="s">
        <v>176</v>
      </c>
      <c r="D111" s="142">
        <v>0</v>
      </c>
      <c r="E111" s="139">
        <v>19.05</v>
      </c>
      <c r="F111" s="139">
        <v>23.194915254237287</v>
      </c>
      <c r="G111" s="270">
        <v>21.87</v>
      </c>
      <c r="H111" s="294">
        <v>0</v>
      </c>
      <c r="I111" s="140">
        <v>21.994353400000001</v>
      </c>
      <c r="J111" s="140">
        <v>0</v>
      </c>
      <c r="K111" s="140">
        <f>J111*1.06</f>
        <v>0</v>
      </c>
      <c r="L111" s="141">
        <f>K111*1.109</f>
        <v>0</v>
      </c>
    </row>
    <row r="112" spans="2:16" s="134" customFormat="1" ht="17.25" customHeight="1" thickBot="1">
      <c r="B112" s="223" t="s">
        <v>177</v>
      </c>
      <c r="C112" s="224" t="s">
        <v>123</v>
      </c>
      <c r="D112" s="150">
        <v>13.539254523795002</v>
      </c>
      <c r="E112" s="151">
        <v>127.740167</v>
      </c>
      <c r="F112" s="264">
        <v>119.36511893707626</v>
      </c>
      <c r="G112" s="264">
        <f>G111*G108+G106*G109+G107*G110</f>
        <v>136.42817300000002</v>
      </c>
      <c r="H112" s="295">
        <v>16.3</v>
      </c>
      <c r="I112" s="264">
        <v>30.242808648087998</v>
      </c>
      <c r="J112" s="264">
        <f>J107*J110+J108*J111</f>
        <v>5.2120860000000002</v>
      </c>
      <c r="K112" s="264">
        <f>K107*K110+K108*K111</f>
        <v>5.5248111600000005</v>
      </c>
      <c r="L112" s="267">
        <f>L107*L110+L108*L111</f>
        <v>5.8792330079999999</v>
      </c>
      <c r="M112" s="133"/>
      <c r="N112" s="133"/>
      <c r="O112" s="133"/>
      <c r="P112" s="133"/>
    </row>
    <row r="113" spans="2:15" s="134" customFormat="1" hidden="1">
      <c r="B113" s="271" t="s">
        <v>178</v>
      </c>
      <c r="C113" s="272" t="s">
        <v>140</v>
      </c>
      <c r="D113" s="811" t="s">
        <v>208</v>
      </c>
      <c r="E113" s="273">
        <f>E114+E115+E116</f>
        <v>0</v>
      </c>
      <c r="F113" s="273">
        <f>F114+F115+F116</f>
        <v>0</v>
      </c>
      <c r="G113" s="274"/>
      <c r="H113" s="275"/>
      <c r="I113" s="276">
        <f>I114+I115+I116</f>
        <v>0</v>
      </c>
      <c r="J113" s="277"/>
      <c r="K113" s="277"/>
      <c r="L113" s="277"/>
    </row>
    <row r="114" spans="2:15" s="134" customFormat="1" hidden="1">
      <c r="B114" s="278" t="s">
        <v>179</v>
      </c>
      <c r="C114" s="279" t="s">
        <v>140</v>
      </c>
      <c r="D114" s="812"/>
      <c r="E114" s="219">
        <v>0</v>
      </c>
      <c r="F114" s="219">
        <v>0</v>
      </c>
      <c r="G114" s="280"/>
      <c r="H114" s="281"/>
      <c r="I114" s="282">
        <v>0</v>
      </c>
      <c r="J114" s="277"/>
      <c r="K114" s="277"/>
      <c r="L114" s="277"/>
    </row>
    <row r="115" spans="2:15" s="134" customFormat="1" hidden="1">
      <c r="B115" s="278" t="s">
        <v>209</v>
      </c>
      <c r="C115" s="279" t="s">
        <v>140</v>
      </c>
      <c r="D115" s="812"/>
      <c r="E115" s="219">
        <v>0</v>
      </c>
      <c r="F115" s="219">
        <v>0</v>
      </c>
      <c r="G115" s="280"/>
      <c r="H115" s="281"/>
      <c r="I115" s="282">
        <v>0</v>
      </c>
      <c r="J115" s="277"/>
      <c r="K115" s="277"/>
      <c r="L115" s="277"/>
    </row>
    <row r="116" spans="2:15" s="134" customFormat="1" hidden="1">
      <c r="B116" s="278" t="s">
        <v>180</v>
      </c>
      <c r="C116" s="279" t="s">
        <v>140</v>
      </c>
      <c r="D116" s="812"/>
      <c r="E116" s="219">
        <v>0</v>
      </c>
      <c r="F116" s="219">
        <v>0</v>
      </c>
      <c r="G116" s="280"/>
      <c r="H116" s="281"/>
      <c r="I116" s="282">
        <v>0</v>
      </c>
      <c r="J116" s="277"/>
      <c r="K116" s="277"/>
      <c r="L116" s="277"/>
    </row>
    <row r="117" spans="2:15" s="134" customFormat="1" hidden="1">
      <c r="B117" s="278" t="s">
        <v>181</v>
      </c>
      <c r="C117" s="279"/>
      <c r="D117" s="812"/>
      <c r="E117" s="219"/>
      <c r="F117" s="219"/>
      <c r="G117" s="280"/>
      <c r="H117" s="281"/>
      <c r="I117" s="282"/>
      <c r="J117" s="277"/>
      <c r="K117" s="277"/>
      <c r="L117" s="277"/>
    </row>
    <row r="118" spans="2:15" s="134" customFormat="1" hidden="1">
      <c r="B118" s="278" t="s">
        <v>179</v>
      </c>
      <c r="C118" s="279" t="s">
        <v>147</v>
      </c>
      <c r="D118" s="812"/>
      <c r="E118" s="283">
        <v>4747</v>
      </c>
      <c r="F118" s="284">
        <v>5126.76</v>
      </c>
      <c r="G118" s="280"/>
      <c r="H118" s="281"/>
      <c r="I118" s="285">
        <v>4747</v>
      </c>
      <c r="J118" s="286"/>
      <c r="K118" s="286"/>
      <c r="L118" s="286"/>
    </row>
    <row r="119" spans="2:15" s="134" customFormat="1" hidden="1">
      <c r="B119" s="278" t="s">
        <v>209</v>
      </c>
      <c r="C119" s="279" t="s">
        <v>147</v>
      </c>
      <c r="D119" s="812"/>
      <c r="E119" s="283">
        <v>32500</v>
      </c>
      <c r="F119" s="284">
        <v>34125</v>
      </c>
      <c r="G119" s="280"/>
      <c r="H119" s="281"/>
      <c r="I119" s="285">
        <v>34125</v>
      </c>
      <c r="J119" s="286"/>
      <c r="K119" s="286"/>
      <c r="L119" s="286"/>
    </row>
    <row r="120" spans="2:15" s="134" customFormat="1" hidden="1">
      <c r="B120" s="278" t="s">
        <v>180</v>
      </c>
      <c r="C120" s="279" t="s">
        <v>147</v>
      </c>
      <c r="D120" s="812"/>
      <c r="E120" s="283">
        <v>0</v>
      </c>
      <c r="F120" s="284">
        <f>E120*1.30266036</f>
        <v>0</v>
      </c>
      <c r="G120" s="280"/>
      <c r="H120" s="281"/>
      <c r="I120" s="285">
        <f>G120*1.30266036</f>
        <v>0</v>
      </c>
      <c r="J120" s="286"/>
      <c r="K120" s="286"/>
      <c r="L120" s="286"/>
    </row>
    <row r="121" spans="2:15" s="134" customFormat="1" ht="15.75" hidden="1" thickBot="1">
      <c r="B121" s="223" t="s">
        <v>182</v>
      </c>
      <c r="C121" s="149" t="s">
        <v>123</v>
      </c>
      <c r="D121" s="813"/>
      <c r="E121" s="151">
        <f>E114*E118/1000+E119*E115/1000+E120*E116/1000</f>
        <v>0</v>
      </c>
      <c r="F121" s="151">
        <f>F114*F118/1000+F119*F115/1000+F120*F116/1000</f>
        <v>0</v>
      </c>
      <c r="G121" s="152">
        <v>0</v>
      </c>
      <c r="H121" s="287"/>
      <c r="I121" s="288">
        <f>I114*I118/1000+I119*I115/1000+I120*I116/1000</f>
        <v>0</v>
      </c>
      <c r="J121" s="277"/>
      <c r="K121" s="277"/>
      <c r="L121" s="277"/>
      <c r="M121" s="133"/>
      <c r="N121" s="133"/>
      <c r="O121" s="161"/>
    </row>
    <row r="122" spans="2:15">
      <c r="B122" s="289"/>
      <c r="C122" s="289"/>
      <c r="D122" s="289"/>
      <c r="E122" s="290"/>
      <c r="F122" s="290"/>
      <c r="G122" s="290"/>
      <c r="H122" s="290"/>
      <c r="I122" s="290"/>
      <c r="J122" s="290"/>
      <c r="K122" s="290"/>
      <c r="L122" s="290"/>
    </row>
    <row r="125" spans="2:15">
      <c r="J125" s="291"/>
    </row>
  </sheetData>
  <mergeCells count="14">
    <mergeCell ref="M71:O71"/>
    <mergeCell ref="B79:L79"/>
    <mergeCell ref="B104:L104"/>
    <mergeCell ref="D113:D121"/>
    <mergeCell ref="B2:L2"/>
    <mergeCell ref="C3:F3"/>
    <mergeCell ref="B4:B5"/>
    <mergeCell ref="C4:C5"/>
    <mergeCell ref="D4:F5"/>
    <mergeCell ref="H4:H5"/>
    <mergeCell ref="I4:I5"/>
    <mergeCell ref="J4:L4"/>
    <mergeCell ref="B6:L6"/>
    <mergeCell ref="B21:L21"/>
  </mergeCells>
  <pageMargins left="0.39370078740157483" right="0.19685039370078741" top="0.39370078740157483" bottom="0.39370078740157483" header="0.51181102362204722" footer="0.51181102362204722"/>
  <pageSetup paperSize="9" scale="66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view="pageBreakPreview" topLeftCell="A50" zoomScale="110" zoomScaleNormal="100" zoomScaleSheetLayoutView="110" workbookViewId="0">
      <selection activeCell="E86" sqref="E86"/>
    </sheetView>
  </sheetViews>
  <sheetFormatPr defaultRowHeight="15"/>
  <cols>
    <col min="1" max="1" width="11.5703125" customWidth="1"/>
    <col min="5" max="5" width="62" customWidth="1"/>
    <col min="6" max="6" width="13.140625" customWidth="1"/>
    <col min="7" max="7" width="23" style="1" customWidth="1"/>
    <col min="8" max="8" width="23.85546875" style="1" customWidth="1"/>
    <col min="9" max="9" width="21.85546875" style="1" customWidth="1"/>
    <col min="10" max="10" width="15.140625" style="1" hidden="1" customWidth="1"/>
    <col min="11" max="11" width="15.7109375" style="1" hidden="1" customWidth="1"/>
    <col min="12" max="12" width="15" style="1" hidden="1" customWidth="1"/>
    <col min="13" max="13" width="13.85546875" style="1" hidden="1" customWidth="1"/>
    <col min="14" max="14" width="14" style="1" hidden="1" customWidth="1"/>
    <col min="15" max="15" width="15.140625" style="1" hidden="1" customWidth="1"/>
    <col min="16" max="16" width="15.5703125" style="1" hidden="1" customWidth="1"/>
    <col min="17" max="17" width="14.42578125" style="1" hidden="1" customWidth="1"/>
    <col min="18" max="19" width="15.140625" style="1" hidden="1" customWidth="1"/>
    <col min="20" max="20" width="14.7109375" style="1" hidden="1" customWidth="1"/>
    <col min="21" max="21" width="13.85546875" style="1" hidden="1" customWidth="1"/>
    <col min="22" max="22" width="1.5703125" customWidth="1"/>
    <col min="23" max="23" width="9.140625" hidden="1" customWidth="1"/>
  </cols>
  <sheetData>
    <row r="1" spans="1:23" ht="14.25" customHeight="1">
      <c r="G1" s="845" t="s">
        <v>244</v>
      </c>
      <c r="H1" s="845"/>
      <c r="I1" s="845"/>
    </row>
    <row r="2" spans="1:23" ht="10.5" customHeight="1">
      <c r="G2" s="845"/>
      <c r="H2" s="845"/>
      <c r="I2" s="845"/>
    </row>
    <row r="3" spans="1:23" ht="33.75" customHeight="1">
      <c r="G3" s="845"/>
      <c r="H3" s="845"/>
      <c r="I3" s="845"/>
    </row>
    <row r="4" spans="1:23" ht="20.25" customHeight="1">
      <c r="A4" s="846" t="s">
        <v>240</v>
      </c>
      <c r="B4" s="846"/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1"/>
      <c r="W4" s="1"/>
    </row>
    <row r="5" spans="1:23" hidden="1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6"/>
      <c r="M5" s="306"/>
      <c r="N5" s="306"/>
      <c r="O5" s="306"/>
      <c r="P5" s="307"/>
      <c r="Q5" s="307"/>
      <c r="R5" s="307"/>
      <c r="S5" s="307"/>
      <c r="T5" s="307"/>
      <c r="U5" s="307"/>
      <c r="V5" s="1"/>
      <c r="W5" s="1"/>
    </row>
    <row r="6" spans="1:23" ht="18.75">
      <c r="A6" s="846" t="s">
        <v>241</v>
      </c>
      <c r="B6" s="846"/>
      <c r="C6" s="846"/>
      <c r="D6" s="846"/>
      <c r="E6" s="846"/>
      <c r="F6" s="846"/>
      <c r="G6" s="846"/>
      <c r="H6" s="846"/>
      <c r="I6" s="846"/>
      <c r="J6" s="846"/>
      <c r="K6" s="846"/>
      <c r="L6" s="846"/>
      <c r="M6" s="846"/>
      <c r="N6" s="846"/>
      <c r="O6" s="846"/>
      <c r="P6" s="846"/>
      <c r="Q6" s="846"/>
      <c r="R6" s="846"/>
      <c r="S6" s="846"/>
      <c r="T6" s="846"/>
      <c r="U6" s="846"/>
      <c r="V6" s="1"/>
      <c r="W6" s="1"/>
    </row>
    <row r="7" spans="1:23" ht="0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47"/>
      <c r="M7" s="347"/>
      <c r="N7" s="347"/>
      <c r="O7" s="347"/>
      <c r="V7" s="1"/>
      <c r="W7" s="1"/>
    </row>
    <row r="8" spans="1:23" hidden="1">
      <c r="A8" s="697"/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1"/>
      <c r="W8" s="1"/>
    </row>
    <row r="9" spans="1:23" hidden="1">
      <c r="A9" s="347"/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V9" s="1"/>
      <c r="W9" s="1"/>
    </row>
    <row r="10" spans="1:23" hidden="1">
      <c r="A10" s="347"/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V10" s="1"/>
      <c r="W10" s="1"/>
    </row>
    <row r="11" spans="1:23" ht="15.75" thickBot="1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V11" s="12"/>
      <c r="W11" s="1"/>
    </row>
    <row r="12" spans="1:23" ht="15.75" customHeight="1">
      <c r="A12" s="714" t="s">
        <v>0</v>
      </c>
      <c r="B12" s="717" t="s">
        <v>1</v>
      </c>
      <c r="C12" s="718"/>
      <c r="D12" s="718"/>
      <c r="E12" s="719"/>
      <c r="F12" s="726" t="s">
        <v>2</v>
      </c>
      <c r="G12" s="702" t="s">
        <v>242</v>
      </c>
      <c r="H12" s="702" t="s">
        <v>238</v>
      </c>
      <c r="I12" s="702" t="s">
        <v>239</v>
      </c>
      <c r="J12" s="702" t="s">
        <v>225</v>
      </c>
      <c r="K12" s="732" t="s">
        <v>215</v>
      </c>
      <c r="L12" s="733"/>
      <c r="M12" s="734"/>
      <c r="N12" s="702" t="s">
        <v>231</v>
      </c>
      <c r="O12" s="732" t="s">
        <v>230</v>
      </c>
      <c r="P12" s="733"/>
      <c r="Q12" s="734"/>
      <c r="R12" s="702" t="s">
        <v>232</v>
      </c>
      <c r="S12" s="732" t="s">
        <v>233</v>
      </c>
      <c r="T12" s="733"/>
      <c r="U12" s="738"/>
      <c r="V12" s="414"/>
      <c r="W12" s="1"/>
    </row>
    <row r="13" spans="1:23" ht="6" hidden="1" customHeight="1">
      <c r="A13" s="715"/>
      <c r="B13" s="720"/>
      <c r="C13" s="721"/>
      <c r="D13" s="721"/>
      <c r="E13" s="722"/>
      <c r="F13" s="727"/>
      <c r="G13" s="703"/>
      <c r="H13" s="703"/>
      <c r="I13" s="703"/>
      <c r="J13" s="703"/>
      <c r="K13" s="735"/>
      <c r="L13" s="736"/>
      <c r="M13" s="737"/>
      <c r="N13" s="703"/>
      <c r="O13" s="735"/>
      <c r="P13" s="736"/>
      <c r="Q13" s="737"/>
      <c r="R13" s="703"/>
      <c r="S13" s="735"/>
      <c r="T13" s="736"/>
      <c r="U13" s="739"/>
      <c r="V13" s="414"/>
      <c r="W13" s="1"/>
    </row>
    <row r="14" spans="1:23" ht="15.75" customHeight="1">
      <c r="A14" s="715"/>
      <c r="B14" s="720"/>
      <c r="C14" s="721"/>
      <c r="D14" s="721"/>
      <c r="E14" s="722"/>
      <c r="F14" s="727"/>
      <c r="G14" s="703"/>
      <c r="H14" s="703"/>
      <c r="I14" s="703"/>
      <c r="J14" s="703"/>
      <c r="K14" s="698" t="s">
        <v>219</v>
      </c>
      <c r="L14" s="698" t="s">
        <v>220</v>
      </c>
      <c r="M14" s="699" t="s">
        <v>223</v>
      </c>
      <c r="N14" s="703"/>
      <c r="O14" s="698" t="s">
        <v>227</v>
      </c>
      <c r="P14" s="698" t="s">
        <v>228</v>
      </c>
      <c r="Q14" s="699" t="s">
        <v>229</v>
      </c>
      <c r="R14" s="703"/>
      <c r="S14" s="698" t="s">
        <v>234</v>
      </c>
      <c r="T14" s="698" t="s">
        <v>235</v>
      </c>
      <c r="U14" s="729" t="s">
        <v>236</v>
      </c>
      <c r="V14" s="414"/>
      <c r="W14" s="1"/>
    </row>
    <row r="15" spans="1:23">
      <c r="A15" s="715"/>
      <c r="B15" s="720"/>
      <c r="C15" s="721"/>
      <c r="D15" s="721"/>
      <c r="E15" s="722"/>
      <c r="F15" s="727"/>
      <c r="G15" s="703"/>
      <c r="H15" s="703"/>
      <c r="I15" s="703"/>
      <c r="J15" s="703"/>
      <c r="K15" s="698"/>
      <c r="L15" s="698"/>
      <c r="M15" s="700"/>
      <c r="N15" s="703"/>
      <c r="O15" s="698"/>
      <c r="P15" s="698"/>
      <c r="Q15" s="700"/>
      <c r="R15" s="703"/>
      <c r="S15" s="698"/>
      <c r="T15" s="698"/>
      <c r="U15" s="730"/>
      <c r="V15" s="414"/>
      <c r="W15" s="1"/>
    </row>
    <row r="16" spans="1:23" ht="3" customHeight="1">
      <c r="A16" s="716"/>
      <c r="B16" s="723"/>
      <c r="C16" s="724"/>
      <c r="D16" s="724"/>
      <c r="E16" s="725"/>
      <c r="F16" s="728"/>
      <c r="G16" s="704"/>
      <c r="H16" s="704"/>
      <c r="I16" s="704"/>
      <c r="J16" s="704"/>
      <c r="K16" s="698"/>
      <c r="L16" s="698"/>
      <c r="M16" s="701"/>
      <c r="N16" s="704"/>
      <c r="O16" s="698"/>
      <c r="P16" s="698"/>
      <c r="Q16" s="701"/>
      <c r="R16" s="704"/>
      <c r="S16" s="698"/>
      <c r="T16" s="698"/>
      <c r="U16" s="731"/>
      <c r="V16" s="414"/>
      <c r="W16" s="1"/>
    </row>
    <row r="17" spans="1:23" ht="15.75">
      <c r="A17" s="350">
        <v>1</v>
      </c>
      <c r="B17" s="705">
        <v>2</v>
      </c>
      <c r="C17" s="706"/>
      <c r="D17" s="706"/>
      <c r="E17" s="707"/>
      <c r="F17" s="8">
        <v>3</v>
      </c>
      <c r="G17" s="8">
        <v>4</v>
      </c>
      <c r="H17" s="8">
        <v>5</v>
      </c>
      <c r="I17" s="8">
        <v>6</v>
      </c>
      <c r="J17" s="8">
        <v>5</v>
      </c>
      <c r="K17" s="8">
        <v>6</v>
      </c>
      <c r="L17" s="8">
        <v>7</v>
      </c>
      <c r="M17" s="8">
        <v>8</v>
      </c>
      <c r="N17" s="8">
        <v>9</v>
      </c>
      <c r="O17" s="8">
        <v>10</v>
      </c>
      <c r="P17" s="8">
        <v>11</v>
      </c>
      <c r="Q17" s="8">
        <v>12</v>
      </c>
      <c r="R17" s="8">
        <v>13</v>
      </c>
      <c r="S17" s="8">
        <v>14</v>
      </c>
      <c r="T17" s="8">
        <v>15</v>
      </c>
      <c r="U17" s="351">
        <v>16</v>
      </c>
      <c r="V17" s="414"/>
      <c r="W17" s="1"/>
    </row>
    <row r="18" spans="1:23" ht="15.75" hidden="1" customHeight="1">
      <c r="A18" s="352"/>
      <c r="B18" s="9"/>
      <c r="C18" s="4"/>
      <c r="D18" s="4"/>
      <c r="E18" s="4"/>
      <c r="F18" s="3"/>
      <c r="G18" s="3"/>
      <c r="H18" s="3"/>
      <c r="I18" s="3"/>
      <c r="J18" s="3"/>
      <c r="K18" s="94"/>
      <c r="L18" s="95"/>
      <c r="M18" s="95"/>
      <c r="N18" s="95"/>
      <c r="O18" s="94"/>
      <c r="P18" s="94"/>
      <c r="Q18" s="94"/>
      <c r="R18" s="94"/>
      <c r="S18" s="94"/>
      <c r="T18" s="94"/>
      <c r="U18" s="353"/>
      <c r="V18" s="414"/>
      <c r="W18" s="1"/>
    </row>
    <row r="19" spans="1:23" ht="15.75">
      <c r="A19" s="354"/>
      <c r="B19" s="10" t="s">
        <v>3</v>
      </c>
      <c r="C19" s="11"/>
      <c r="D19" s="11"/>
      <c r="E19" s="11"/>
      <c r="F19" s="6"/>
      <c r="G19" s="57">
        <v>1</v>
      </c>
      <c r="H19" s="57">
        <v>1</v>
      </c>
      <c r="I19" s="57">
        <v>1</v>
      </c>
      <c r="J19" s="57">
        <v>1</v>
      </c>
      <c r="K19" s="57">
        <v>1</v>
      </c>
      <c r="L19" s="57">
        <v>1</v>
      </c>
      <c r="M19" s="57">
        <v>1</v>
      </c>
      <c r="N19" s="57">
        <v>1</v>
      </c>
      <c r="O19" s="57">
        <v>1</v>
      </c>
      <c r="P19" s="57">
        <v>1</v>
      </c>
      <c r="Q19" s="57">
        <v>1</v>
      </c>
      <c r="R19" s="57">
        <v>1</v>
      </c>
      <c r="S19" s="57">
        <v>1</v>
      </c>
      <c r="T19" s="57">
        <v>1</v>
      </c>
      <c r="U19" s="355">
        <v>1</v>
      </c>
      <c r="V19" s="414"/>
      <c r="W19" s="1"/>
    </row>
    <row r="20" spans="1:23" ht="15.75">
      <c r="A20" s="354"/>
      <c r="B20" s="10" t="s">
        <v>216</v>
      </c>
      <c r="C20" s="11"/>
      <c r="D20" s="11"/>
      <c r="E20" s="11"/>
      <c r="F20" s="95" t="s">
        <v>4</v>
      </c>
      <c r="G20" s="63">
        <v>2040.06</v>
      </c>
      <c r="H20" s="63">
        <v>2040.06</v>
      </c>
      <c r="I20" s="63">
        <f>H20-G20</f>
        <v>0</v>
      </c>
      <c r="J20" s="63">
        <v>2237</v>
      </c>
      <c r="K20" s="309">
        <f>K21+K27</f>
        <v>2176.88</v>
      </c>
      <c r="L20" s="61">
        <f t="shared" ref="L20:U20" si="0">L21+L27</f>
        <v>2176.88</v>
      </c>
      <c r="M20" s="61">
        <f t="shared" si="0"/>
        <v>2176.88</v>
      </c>
      <c r="N20" s="61">
        <f t="shared" si="0"/>
        <v>2237</v>
      </c>
      <c r="O20" s="61">
        <f t="shared" si="0"/>
        <v>2176.88</v>
      </c>
      <c r="P20" s="61">
        <f t="shared" si="0"/>
        <v>2176.88</v>
      </c>
      <c r="Q20" s="61">
        <f>(O20+P20)/2</f>
        <v>2176.88</v>
      </c>
      <c r="R20" s="61">
        <v>2237</v>
      </c>
      <c r="S20" s="61">
        <f t="shared" si="0"/>
        <v>2176.88</v>
      </c>
      <c r="T20" s="61">
        <f t="shared" si="0"/>
        <v>2176.88</v>
      </c>
      <c r="U20" s="356">
        <f t="shared" si="0"/>
        <v>2176.88</v>
      </c>
      <c r="V20" s="414"/>
      <c r="W20" s="1"/>
    </row>
    <row r="21" spans="1:23" ht="15.75">
      <c r="A21" s="354"/>
      <c r="B21" s="10" t="s">
        <v>5</v>
      </c>
      <c r="C21" s="11"/>
      <c r="D21" s="11"/>
      <c r="E21" s="11"/>
      <c r="F21" s="95" t="s">
        <v>6</v>
      </c>
      <c r="G21" s="92">
        <v>1602.8</v>
      </c>
      <c r="H21" s="92">
        <v>1602.8</v>
      </c>
      <c r="I21" s="92">
        <f t="shared" ref="I21:I29" si="1">H21-G21</f>
        <v>0</v>
      </c>
      <c r="J21" s="92">
        <v>1729.49</v>
      </c>
      <c r="K21" s="58">
        <f>K22+K26</f>
        <v>1729.49</v>
      </c>
      <c r="L21" s="62">
        <f t="shared" ref="L21:U21" si="2">L22+L26</f>
        <v>1729.49</v>
      </c>
      <c r="M21" s="62">
        <f t="shared" si="2"/>
        <v>1729.49</v>
      </c>
      <c r="N21" s="62">
        <f t="shared" si="2"/>
        <v>1729.49</v>
      </c>
      <c r="O21" s="62">
        <f t="shared" si="2"/>
        <v>1729.49</v>
      </c>
      <c r="P21" s="62">
        <f t="shared" si="2"/>
        <v>1729.49</v>
      </c>
      <c r="Q21" s="61">
        <f t="shared" ref="Q21:Q29" si="3">(O21+P21)/2</f>
        <v>1729.49</v>
      </c>
      <c r="R21" s="62">
        <v>1729.49</v>
      </c>
      <c r="S21" s="62">
        <f t="shared" si="2"/>
        <v>1729.49</v>
      </c>
      <c r="T21" s="62">
        <f t="shared" si="2"/>
        <v>1729.49</v>
      </c>
      <c r="U21" s="357">
        <f t="shared" si="2"/>
        <v>1729.49</v>
      </c>
      <c r="V21" s="414"/>
      <c r="W21" s="1"/>
    </row>
    <row r="22" spans="1:23" ht="15.75">
      <c r="A22" s="354"/>
      <c r="B22" s="10" t="s">
        <v>7</v>
      </c>
      <c r="C22" s="11"/>
      <c r="D22" s="11"/>
      <c r="E22" s="11"/>
      <c r="F22" s="95" t="s">
        <v>6</v>
      </c>
      <c r="G22" s="92">
        <v>442.5</v>
      </c>
      <c r="H22" s="92">
        <v>442.5</v>
      </c>
      <c r="I22" s="92">
        <f t="shared" si="1"/>
        <v>0</v>
      </c>
      <c r="J22" s="92">
        <v>564.49</v>
      </c>
      <c r="K22" s="58">
        <f>K23+K24+K25</f>
        <v>564.49</v>
      </c>
      <c r="L22" s="62">
        <f t="shared" ref="L22:U22" si="4">L23+L24+L25</f>
        <v>564.49</v>
      </c>
      <c r="M22" s="62">
        <f t="shared" si="4"/>
        <v>564.49</v>
      </c>
      <c r="N22" s="62">
        <f t="shared" si="4"/>
        <v>564.49</v>
      </c>
      <c r="O22" s="62">
        <f t="shared" si="4"/>
        <v>564.49</v>
      </c>
      <c r="P22" s="62">
        <f t="shared" si="4"/>
        <v>564.49</v>
      </c>
      <c r="Q22" s="61">
        <f t="shared" si="3"/>
        <v>564.49</v>
      </c>
      <c r="R22" s="62">
        <v>564.49</v>
      </c>
      <c r="S22" s="62">
        <f t="shared" si="4"/>
        <v>564.49</v>
      </c>
      <c r="T22" s="62">
        <f t="shared" si="4"/>
        <v>564.49</v>
      </c>
      <c r="U22" s="357">
        <f t="shared" si="4"/>
        <v>564.49</v>
      </c>
      <c r="V22" s="414"/>
      <c r="W22" s="1"/>
    </row>
    <row r="23" spans="1:23" ht="15.75">
      <c r="A23" s="354"/>
      <c r="B23" s="11" t="s">
        <v>8</v>
      </c>
      <c r="C23" s="11"/>
      <c r="D23" s="11"/>
      <c r="E23" s="12"/>
      <c r="F23" s="95" t="s">
        <v>6</v>
      </c>
      <c r="G23" s="64">
        <v>442.5</v>
      </c>
      <c r="H23" s="64">
        <v>442.5</v>
      </c>
      <c r="I23" s="64">
        <f t="shared" si="1"/>
        <v>0</v>
      </c>
      <c r="J23" s="64">
        <v>564.49</v>
      </c>
      <c r="K23" s="59">
        <f>'Физика на 2015 '!J14</f>
        <v>564.49</v>
      </c>
      <c r="L23" s="59">
        <f t="shared" ref="L23:M26" si="5">K23</f>
        <v>564.49</v>
      </c>
      <c r="M23" s="59">
        <f t="shared" si="5"/>
        <v>564.49</v>
      </c>
      <c r="N23" s="59">
        <v>564.49</v>
      </c>
      <c r="O23" s="59">
        <f>L23</f>
        <v>564.49</v>
      </c>
      <c r="P23" s="59">
        <f>O23</f>
        <v>564.49</v>
      </c>
      <c r="Q23" s="57">
        <f t="shared" si="3"/>
        <v>564.49</v>
      </c>
      <c r="R23" s="57">
        <v>564.49</v>
      </c>
      <c r="S23" s="59">
        <f>P23</f>
        <v>564.49</v>
      </c>
      <c r="T23" s="59">
        <f t="shared" ref="T23:U26" si="6">S23</f>
        <v>564.49</v>
      </c>
      <c r="U23" s="358">
        <f t="shared" si="6"/>
        <v>564.49</v>
      </c>
      <c r="V23" s="414"/>
      <c r="W23" s="1"/>
    </row>
    <row r="24" spans="1:23" ht="15.75">
      <c r="A24" s="354"/>
      <c r="B24" s="11" t="s">
        <v>9</v>
      </c>
      <c r="C24" s="11"/>
      <c r="D24" s="11"/>
      <c r="E24" s="12"/>
      <c r="F24" s="95" t="s">
        <v>6</v>
      </c>
      <c r="G24" s="64">
        <v>0</v>
      </c>
      <c r="H24" s="64">
        <v>0</v>
      </c>
      <c r="I24" s="64">
        <f t="shared" si="1"/>
        <v>0</v>
      </c>
      <c r="J24" s="64">
        <v>0</v>
      </c>
      <c r="K24" s="59">
        <f>'Физика на 2015 '!J15</f>
        <v>0</v>
      </c>
      <c r="L24" s="59">
        <f t="shared" si="5"/>
        <v>0</v>
      </c>
      <c r="M24" s="59">
        <f t="shared" si="5"/>
        <v>0</v>
      </c>
      <c r="N24" s="59">
        <v>0</v>
      </c>
      <c r="O24" s="59">
        <f>L24</f>
        <v>0</v>
      </c>
      <c r="P24" s="59">
        <f>O24</f>
        <v>0</v>
      </c>
      <c r="Q24" s="57">
        <f t="shared" si="3"/>
        <v>0</v>
      </c>
      <c r="R24" s="57">
        <v>0</v>
      </c>
      <c r="S24" s="59">
        <f>P24</f>
        <v>0</v>
      </c>
      <c r="T24" s="59">
        <f t="shared" si="6"/>
        <v>0</v>
      </c>
      <c r="U24" s="358">
        <f t="shared" si="6"/>
        <v>0</v>
      </c>
      <c r="V24" s="414"/>
      <c r="W24" s="1"/>
    </row>
    <row r="25" spans="1:23" ht="15.75">
      <c r="A25" s="354"/>
      <c r="B25" s="11" t="s">
        <v>10</v>
      </c>
      <c r="C25" s="11"/>
      <c r="D25" s="11"/>
      <c r="E25" s="12"/>
      <c r="F25" s="95" t="s">
        <v>6</v>
      </c>
      <c r="G25" s="64">
        <v>0</v>
      </c>
      <c r="H25" s="64">
        <v>0</v>
      </c>
      <c r="I25" s="64">
        <f t="shared" si="1"/>
        <v>0</v>
      </c>
      <c r="J25" s="64">
        <v>0</v>
      </c>
      <c r="K25" s="59">
        <f>'Физика на 2015 '!J16</f>
        <v>0</v>
      </c>
      <c r="L25" s="59">
        <f t="shared" si="5"/>
        <v>0</v>
      </c>
      <c r="M25" s="59">
        <f t="shared" si="5"/>
        <v>0</v>
      </c>
      <c r="N25" s="59">
        <v>0</v>
      </c>
      <c r="O25" s="59">
        <f>L25</f>
        <v>0</v>
      </c>
      <c r="P25" s="59">
        <f>O25</f>
        <v>0</v>
      </c>
      <c r="Q25" s="57">
        <f t="shared" si="3"/>
        <v>0</v>
      </c>
      <c r="R25" s="57">
        <v>0</v>
      </c>
      <c r="S25" s="59">
        <f>P25</f>
        <v>0</v>
      </c>
      <c r="T25" s="59">
        <f t="shared" si="6"/>
        <v>0</v>
      </c>
      <c r="U25" s="358">
        <f t="shared" si="6"/>
        <v>0</v>
      </c>
      <c r="V25" s="414"/>
      <c r="W25" s="1"/>
    </row>
    <row r="26" spans="1:23" ht="15.75">
      <c r="A26" s="354"/>
      <c r="B26" s="11" t="s">
        <v>11</v>
      </c>
      <c r="C26" s="11"/>
      <c r="D26" s="11"/>
      <c r="E26" s="12"/>
      <c r="F26" s="95" t="s">
        <v>6</v>
      </c>
      <c r="G26" s="64">
        <v>1160.3</v>
      </c>
      <c r="H26" s="64">
        <v>1160.3</v>
      </c>
      <c r="I26" s="64">
        <f t="shared" si="1"/>
        <v>0</v>
      </c>
      <c r="J26" s="64">
        <v>1165</v>
      </c>
      <c r="K26" s="59">
        <f>'Физика на 2015 '!J17</f>
        <v>1165</v>
      </c>
      <c r="L26" s="59">
        <f t="shared" si="5"/>
        <v>1165</v>
      </c>
      <c r="M26" s="59">
        <f t="shared" si="5"/>
        <v>1165</v>
      </c>
      <c r="N26" s="59">
        <v>1165</v>
      </c>
      <c r="O26" s="59">
        <f>L26</f>
        <v>1165</v>
      </c>
      <c r="P26" s="59">
        <f>O26</f>
        <v>1165</v>
      </c>
      <c r="Q26" s="57">
        <f t="shared" si="3"/>
        <v>1165</v>
      </c>
      <c r="R26" s="57">
        <v>1165</v>
      </c>
      <c r="S26" s="59">
        <f>P26</f>
        <v>1165</v>
      </c>
      <c r="T26" s="59">
        <f t="shared" si="6"/>
        <v>1165</v>
      </c>
      <c r="U26" s="358">
        <f t="shared" si="6"/>
        <v>1165</v>
      </c>
      <c r="V26" s="414"/>
      <c r="W26" s="1"/>
    </row>
    <row r="27" spans="1:23" ht="15.75">
      <c r="A27" s="354"/>
      <c r="B27" s="14" t="s">
        <v>12</v>
      </c>
      <c r="C27" s="11"/>
      <c r="D27" s="11"/>
      <c r="E27" s="12"/>
      <c r="F27" s="95" t="s">
        <v>6</v>
      </c>
      <c r="G27" s="92">
        <v>437.26</v>
      </c>
      <c r="H27" s="92">
        <v>437.26</v>
      </c>
      <c r="I27" s="92">
        <f t="shared" si="1"/>
        <v>0</v>
      </c>
      <c r="J27" s="92">
        <v>507.51</v>
      </c>
      <c r="K27" s="58">
        <f>K28+K29</f>
        <v>447.39</v>
      </c>
      <c r="L27" s="58">
        <f t="shared" ref="L27:U27" si="7">L28+L29</f>
        <v>447.39</v>
      </c>
      <c r="M27" s="58">
        <f t="shared" si="7"/>
        <v>447.39</v>
      </c>
      <c r="N27" s="58">
        <f t="shared" si="7"/>
        <v>507.51</v>
      </c>
      <c r="O27" s="58">
        <f t="shared" si="7"/>
        <v>447.39</v>
      </c>
      <c r="P27" s="58">
        <f t="shared" si="7"/>
        <v>447.39</v>
      </c>
      <c r="Q27" s="61">
        <f t="shared" si="3"/>
        <v>447.39</v>
      </c>
      <c r="R27" s="62">
        <v>507.51</v>
      </c>
      <c r="S27" s="58">
        <f t="shared" si="7"/>
        <v>447.39</v>
      </c>
      <c r="T27" s="58">
        <f t="shared" si="7"/>
        <v>447.39</v>
      </c>
      <c r="U27" s="359">
        <f t="shared" si="7"/>
        <v>447.39</v>
      </c>
      <c r="V27" s="414"/>
      <c r="W27" s="1"/>
    </row>
    <row r="28" spans="1:23" ht="15.75">
      <c r="A28" s="354"/>
      <c r="B28" s="6" t="s">
        <v>13</v>
      </c>
      <c r="C28" s="11"/>
      <c r="D28" s="11"/>
      <c r="E28" s="11"/>
      <c r="F28" s="95" t="s">
        <v>6</v>
      </c>
      <c r="G28" s="64">
        <v>34.68</v>
      </c>
      <c r="H28" s="64">
        <v>34.68</v>
      </c>
      <c r="I28" s="64">
        <f t="shared" si="1"/>
        <v>0</v>
      </c>
      <c r="J28" s="64">
        <v>21.4</v>
      </c>
      <c r="K28" s="60">
        <f>'Физика на 2015 '!J19</f>
        <v>37.01</v>
      </c>
      <c r="L28" s="60">
        <f>K28</f>
        <v>37.01</v>
      </c>
      <c r="M28" s="60">
        <f>L28</f>
        <v>37.01</v>
      </c>
      <c r="N28" s="60">
        <f>J28</f>
        <v>21.4</v>
      </c>
      <c r="O28" s="60">
        <f>L28</f>
        <v>37.01</v>
      </c>
      <c r="P28" s="60">
        <f>O28</f>
        <v>37.01</v>
      </c>
      <c r="Q28" s="57">
        <f t="shared" si="3"/>
        <v>37.01</v>
      </c>
      <c r="R28" s="57">
        <v>21.4</v>
      </c>
      <c r="S28" s="60">
        <f>P28</f>
        <v>37.01</v>
      </c>
      <c r="T28" s="60">
        <f>S28</f>
        <v>37.01</v>
      </c>
      <c r="U28" s="360">
        <f>T28</f>
        <v>37.01</v>
      </c>
      <c r="V28" s="414"/>
      <c r="W28" s="1"/>
    </row>
    <row r="29" spans="1:23" ht="16.5" thickBot="1">
      <c r="A29" s="354"/>
      <c r="B29" s="15" t="s">
        <v>14</v>
      </c>
      <c r="C29" s="11"/>
      <c r="D29" s="11"/>
      <c r="E29" s="11"/>
      <c r="F29" s="95" t="s">
        <v>6</v>
      </c>
      <c r="G29" s="64">
        <v>402.58</v>
      </c>
      <c r="H29" s="64">
        <v>402.58</v>
      </c>
      <c r="I29" s="64">
        <f t="shared" si="1"/>
        <v>0</v>
      </c>
      <c r="J29" s="64">
        <v>486.11</v>
      </c>
      <c r="K29" s="60">
        <f>'Физика на 2015 '!J20</f>
        <v>410.38</v>
      </c>
      <c r="L29" s="60">
        <f>K29</f>
        <v>410.38</v>
      </c>
      <c r="M29" s="60">
        <f>L29</f>
        <v>410.38</v>
      </c>
      <c r="N29" s="60">
        <f>J29</f>
        <v>486.11</v>
      </c>
      <c r="O29" s="60">
        <f>L29</f>
        <v>410.38</v>
      </c>
      <c r="P29" s="60">
        <f>O29</f>
        <v>410.38</v>
      </c>
      <c r="Q29" s="57">
        <f t="shared" si="3"/>
        <v>410.38</v>
      </c>
      <c r="R29" s="57">
        <v>486.11</v>
      </c>
      <c r="S29" s="60">
        <f>P29</f>
        <v>410.38</v>
      </c>
      <c r="T29" s="60">
        <f>S29</f>
        <v>410.38</v>
      </c>
      <c r="U29" s="360">
        <f>T29</f>
        <v>410.38</v>
      </c>
      <c r="V29" s="414"/>
      <c r="W29" s="1"/>
    </row>
    <row r="30" spans="1:23" ht="24.75" customHeight="1">
      <c r="A30" s="839" t="s">
        <v>15</v>
      </c>
      <c r="B30" s="840"/>
      <c r="C30" s="840"/>
      <c r="D30" s="840"/>
      <c r="E30" s="840"/>
      <c r="F30" s="840"/>
      <c r="G30" s="840"/>
      <c r="H30" s="840"/>
      <c r="I30" s="840"/>
      <c r="J30" s="840"/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1"/>
      <c r="V30" s="414"/>
      <c r="W30" s="1"/>
    </row>
    <row r="31" spans="1:23" ht="2.25" customHeight="1" thickBot="1">
      <c r="A31" s="842"/>
      <c r="B31" s="843"/>
      <c r="C31" s="843"/>
      <c r="D31" s="843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4"/>
      <c r="V31" s="414"/>
      <c r="W31" s="1"/>
    </row>
    <row r="32" spans="1:23" ht="15.75">
      <c r="A32" s="361" t="s">
        <v>16</v>
      </c>
      <c r="B32" s="14" t="s">
        <v>17</v>
      </c>
      <c r="C32" s="16"/>
      <c r="D32" s="14"/>
      <c r="E32" s="17"/>
      <c r="F32" s="55" t="s">
        <v>18</v>
      </c>
      <c r="G32" s="62">
        <v>1560.1</v>
      </c>
      <c r="H32" s="62">
        <v>1286.98</v>
      </c>
      <c r="I32" s="62">
        <f>G32-H32</f>
        <v>273.11999999999989</v>
      </c>
      <c r="J32" s="62">
        <v>1806.73</v>
      </c>
      <c r="K32" s="63">
        <f>K33+K34</f>
        <v>1406.1700455471184</v>
      </c>
      <c r="L32" s="63">
        <f>L33+L34</f>
        <v>1513.9217989631525</v>
      </c>
      <c r="M32" s="63">
        <f>(K32+L32)/2</f>
        <v>1460.0459222551353</v>
      </c>
      <c r="N32" s="63">
        <v>1958.5</v>
      </c>
      <c r="O32" s="63">
        <f>O33+O34</f>
        <v>1513.9217989631525</v>
      </c>
      <c r="P32" s="63">
        <f>P33+P34</f>
        <v>1629.6509115744093</v>
      </c>
      <c r="Q32" s="63">
        <f>Q33+Q34</f>
        <v>1571.7863552687809</v>
      </c>
      <c r="R32" s="63">
        <v>2113.2199999999998</v>
      </c>
      <c r="S32" s="63">
        <f>S33+S34</f>
        <v>1629.6509115744093</v>
      </c>
      <c r="T32" s="63">
        <f>T33+T34</f>
        <v>1725.4858347227066</v>
      </c>
      <c r="U32" s="362">
        <f>U33+U34</f>
        <v>1677.5683731485578</v>
      </c>
      <c r="V32" s="414"/>
      <c r="W32" s="1"/>
    </row>
    <row r="33" spans="1:23" ht="15.75">
      <c r="A33" s="361"/>
      <c r="B33" s="11" t="s">
        <v>19</v>
      </c>
      <c r="C33" s="16"/>
      <c r="D33" s="14"/>
      <c r="E33" s="17"/>
      <c r="F33" s="95" t="s">
        <v>6</v>
      </c>
      <c r="G33" s="57">
        <v>1560.1</v>
      </c>
      <c r="H33" s="57">
        <v>1286.98</v>
      </c>
      <c r="I33" s="57">
        <f t="shared" ref="I33:I42" si="8">G33-H33</f>
        <v>273.11999999999989</v>
      </c>
      <c r="J33" s="57">
        <v>1806.73</v>
      </c>
      <c r="K33" s="64">
        <f>K36+K39</f>
        <v>1406.1700455471184</v>
      </c>
      <c r="L33" s="64">
        <f>L36+L39</f>
        <v>1513.9217989631525</v>
      </c>
      <c r="M33" s="64">
        <f t="shared" ref="M33:M75" si="9">(K33+L33)/2</f>
        <v>1460.0459222551353</v>
      </c>
      <c r="N33" s="64">
        <f>N32</f>
        <v>1958.5</v>
      </c>
      <c r="O33" s="64">
        <f>O36+O39</f>
        <v>1513.9217989631525</v>
      </c>
      <c r="P33" s="64">
        <f>P36+P39</f>
        <v>1629.6509115744093</v>
      </c>
      <c r="Q33" s="64">
        <f>(O33+P33)/2</f>
        <v>1571.7863552687809</v>
      </c>
      <c r="R33" s="64">
        <v>2113.2199999999998</v>
      </c>
      <c r="S33" s="64">
        <f>S36+S39</f>
        <v>1629.6509115744093</v>
      </c>
      <c r="T33" s="64">
        <f>T36+T39</f>
        <v>1725.4858347227066</v>
      </c>
      <c r="U33" s="363">
        <f>U36+U39</f>
        <v>1677.5683731485578</v>
      </c>
      <c r="V33" s="414"/>
      <c r="W33" s="1"/>
    </row>
    <row r="34" spans="1:23" ht="15.75">
      <c r="A34" s="364"/>
      <c r="B34" s="11" t="s">
        <v>20</v>
      </c>
      <c r="C34" s="12"/>
      <c r="D34" s="12"/>
      <c r="E34" s="20"/>
      <c r="F34" s="95" t="s">
        <v>6</v>
      </c>
      <c r="G34" s="64"/>
      <c r="H34" s="64"/>
      <c r="I34" s="64"/>
      <c r="J34" s="64"/>
      <c r="K34" s="64"/>
      <c r="L34" s="64"/>
      <c r="M34" s="63"/>
      <c r="N34" s="63"/>
      <c r="O34" s="64"/>
      <c r="P34" s="64"/>
      <c r="Q34" s="64"/>
      <c r="R34" s="64"/>
      <c r="S34" s="64">
        <f>S37</f>
        <v>0</v>
      </c>
      <c r="T34" s="64">
        <f>T37</f>
        <v>0</v>
      </c>
      <c r="U34" s="363">
        <f>U37</f>
        <v>0</v>
      </c>
      <c r="V34" s="414"/>
      <c r="W34" s="1"/>
    </row>
    <row r="35" spans="1:23" ht="15.75">
      <c r="A35" s="364"/>
      <c r="B35" s="11" t="s">
        <v>21</v>
      </c>
      <c r="C35" s="12"/>
      <c r="D35" s="12"/>
      <c r="E35" s="20"/>
      <c r="F35" s="95" t="s">
        <v>6</v>
      </c>
      <c r="G35" s="61">
        <v>1213.5999999999999</v>
      </c>
      <c r="H35" s="61">
        <v>1207.08</v>
      </c>
      <c r="I35" s="61">
        <f t="shared" si="8"/>
        <v>6.5199999999999818</v>
      </c>
      <c r="J35" s="61">
        <v>1167.6300000000001</v>
      </c>
      <c r="K35" s="63">
        <f>K36+K37</f>
        <v>1242.6700455471184</v>
      </c>
      <c r="L35" s="63">
        <f>L36+L37</f>
        <v>1335.8702989631524</v>
      </c>
      <c r="M35" s="63">
        <f t="shared" si="9"/>
        <v>1289.2701722551355</v>
      </c>
      <c r="N35" s="63">
        <f>N36</f>
        <v>1265.71</v>
      </c>
      <c r="O35" s="63">
        <f>O36+O37</f>
        <v>1335.8702989631524</v>
      </c>
      <c r="P35" s="63">
        <f>P36+P37</f>
        <v>1441.2176520744092</v>
      </c>
      <c r="Q35" s="63">
        <f>Q36+Q37</f>
        <v>1388.5439755187808</v>
      </c>
      <c r="R35" s="63">
        <v>1365.7</v>
      </c>
      <c r="S35" s="63">
        <f>S36+S37</f>
        <v>1441.2176520744092</v>
      </c>
      <c r="T35" s="63">
        <f>T36+T37</f>
        <v>1524.7122796337067</v>
      </c>
      <c r="U35" s="362">
        <f>U36+U37</f>
        <v>1482.9649658540579</v>
      </c>
      <c r="V35" s="414"/>
      <c r="W35" s="1"/>
    </row>
    <row r="36" spans="1:23" ht="15.75">
      <c r="A36" s="354"/>
      <c r="B36" s="11" t="s">
        <v>22</v>
      </c>
      <c r="C36" s="16"/>
      <c r="D36" s="11"/>
      <c r="E36" s="21"/>
      <c r="F36" s="95" t="s">
        <v>6</v>
      </c>
      <c r="G36" s="57">
        <v>1213.5999999999999</v>
      </c>
      <c r="H36" s="57">
        <v>1207.08</v>
      </c>
      <c r="I36" s="57">
        <f t="shared" si="8"/>
        <v>6.5199999999999818</v>
      </c>
      <c r="J36" s="57">
        <v>639.1</v>
      </c>
      <c r="K36" s="64">
        <f>'Физика на 2015 '!J63</f>
        <v>1242.6700455471184</v>
      </c>
      <c r="L36" s="64">
        <f>'Физика на 2015 '!L63</f>
        <v>1335.8702989631524</v>
      </c>
      <c r="M36" s="64">
        <f>(K36+L36)/2</f>
        <v>1289.2701722551355</v>
      </c>
      <c r="N36" s="64">
        <v>1265.71</v>
      </c>
      <c r="O36" s="64">
        <f>L36</f>
        <v>1335.8702989631524</v>
      </c>
      <c r="P36" s="64">
        <f>(Q36-O36/2)*2</f>
        <v>1441.2176520744092</v>
      </c>
      <c r="Q36" s="64">
        <f>M36*1.077</f>
        <v>1388.5439755187808</v>
      </c>
      <c r="R36" s="64">
        <v>1365.7</v>
      </c>
      <c r="S36" s="64">
        <f>P36</f>
        <v>1441.2176520744092</v>
      </c>
      <c r="T36" s="64">
        <f>(U36-S36/2)*2</f>
        <v>1524.7122796337067</v>
      </c>
      <c r="U36" s="363">
        <f>Q36*1.068</f>
        <v>1482.9649658540579</v>
      </c>
      <c r="V36" s="414"/>
      <c r="W36" s="1"/>
    </row>
    <row r="37" spans="1:23" ht="15.75">
      <c r="A37" s="354"/>
      <c r="B37" s="11" t="s">
        <v>20</v>
      </c>
      <c r="C37" s="16"/>
      <c r="D37" s="11"/>
      <c r="E37" s="21"/>
      <c r="F37" s="95" t="s">
        <v>6</v>
      </c>
      <c r="G37" s="64"/>
      <c r="H37" s="64"/>
      <c r="I37" s="64"/>
      <c r="J37" s="64"/>
      <c r="K37" s="64"/>
      <c r="L37" s="64"/>
      <c r="M37" s="63"/>
      <c r="N37" s="63"/>
      <c r="O37" s="64"/>
      <c r="P37" s="64"/>
      <c r="Q37" s="64"/>
      <c r="R37" s="64"/>
      <c r="S37" s="64">
        <f>Q37*1.064</f>
        <v>0</v>
      </c>
      <c r="T37" s="64">
        <f>S37*1.064</f>
        <v>0</v>
      </c>
      <c r="U37" s="363">
        <f>T37*1.064</f>
        <v>0</v>
      </c>
      <c r="V37" s="414"/>
      <c r="W37" s="1"/>
    </row>
    <row r="38" spans="1:23" ht="15.75">
      <c r="A38" s="361"/>
      <c r="B38" s="11" t="s">
        <v>23</v>
      </c>
      <c r="C38" s="16"/>
      <c r="D38" s="14"/>
      <c r="E38" s="21"/>
      <c r="F38" s="95" t="s">
        <v>6</v>
      </c>
      <c r="G38" s="61">
        <v>346.5</v>
      </c>
      <c r="H38" s="61">
        <v>79.900000000000006</v>
      </c>
      <c r="I38" s="61">
        <f t="shared" si="8"/>
        <v>266.60000000000002</v>
      </c>
      <c r="J38" s="61">
        <v>639.1</v>
      </c>
      <c r="K38" s="63">
        <f>K39+K40</f>
        <v>163.5</v>
      </c>
      <c r="L38" s="63">
        <f>L39+L40</f>
        <v>178.0515</v>
      </c>
      <c r="M38" s="63">
        <f t="shared" si="9"/>
        <v>170.77575000000002</v>
      </c>
      <c r="N38" s="63">
        <f>N39</f>
        <v>692.78</v>
      </c>
      <c r="O38" s="63">
        <f>O39+O40</f>
        <v>178.0515</v>
      </c>
      <c r="P38" s="63">
        <f>P39+P40</f>
        <v>188.43325949999999</v>
      </c>
      <c r="Q38" s="63">
        <f>Q39+Q40</f>
        <v>183.24237975</v>
      </c>
      <c r="R38" s="63">
        <v>747.51</v>
      </c>
      <c r="S38" s="63">
        <f>S39+S40</f>
        <v>188.43325949999999</v>
      </c>
      <c r="T38" s="63">
        <f>T39+T40</f>
        <v>200.77355508900004</v>
      </c>
      <c r="U38" s="362">
        <f>U39+U40</f>
        <v>194.60340729450002</v>
      </c>
      <c r="V38" s="414"/>
      <c r="W38" s="1"/>
    </row>
    <row r="39" spans="1:23" ht="15.75">
      <c r="A39" s="354"/>
      <c r="B39" s="11" t="s">
        <v>22</v>
      </c>
      <c r="C39" s="16"/>
      <c r="D39" s="11"/>
      <c r="E39" s="21"/>
      <c r="F39" s="95" t="s">
        <v>6</v>
      </c>
      <c r="G39" s="57">
        <v>346.5</v>
      </c>
      <c r="H39" s="57">
        <v>79.900000000000006</v>
      </c>
      <c r="I39" s="57">
        <f t="shared" si="8"/>
        <v>266.60000000000002</v>
      </c>
      <c r="J39" s="57">
        <v>639.1</v>
      </c>
      <c r="K39" s="64">
        <f>'Физика на 2015 '!J70</f>
        <v>163.5</v>
      </c>
      <c r="L39" s="64">
        <f>'Физика на 2015 '!L70</f>
        <v>178.0515</v>
      </c>
      <c r="M39" s="64">
        <f t="shared" si="9"/>
        <v>170.77575000000002</v>
      </c>
      <c r="N39" s="64">
        <v>692.78</v>
      </c>
      <c r="O39" s="64">
        <f>L39</f>
        <v>178.0515</v>
      </c>
      <c r="P39" s="64">
        <f>(Q39-O39/2)*2</f>
        <v>188.43325949999999</v>
      </c>
      <c r="Q39" s="64">
        <f>M39*1.073</f>
        <v>183.24237975</v>
      </c>
      <c r="R39" s="64">
        <v>747.51</v>
      </c>
      <c r="S39" s="64">
        <f>P39</f>
        <v>188.43325949999999</v>
      </c>
      <c r="T39" s="64">
        <f>(U39-S39/2)*2</f>
        <v>200.77355508900004</v>
      </c>
      <c r="U39" s="363">
        <f>Q39*1.062</f>
        <v>194.60340729450002</v>
      </c>
      <c r="V39" s="414"/>
      <c r="W39" s="1"/>
    </row>
    <row r="40" spans="1:23" ht="15.75">
      <c r="A40" s="365"/>
      <c r="B40" s="11" t="s">
        <v>20</v>
      </c>
      <c r="C40" s="16"/>
      <c r="D40" s="11"/>
      <c r="E40" s="21"/>
      <c r="F40" s="96" t="s">
        <v>6</v>
      </c>
      <c r="G40" s="64"/>
      <c r="H40" s="64"/>
      <c r="I40" s="64"/>
      <c r="J40" s="64"/>
      <c r="K40" s="57"/>
      <c r="L40" s="57"/>
      <c r="M40" s="63"/>
      <c r="N40" s="63"/>
      <c r="O40" s="57"/>
      <c r="P40" s="57"/>
      <c r="Q40" s="57"/>
      <c r="R40" s="57"/>
      <c r="S40" s="57">
        <v>0</v>
      </c>
      <c r="T40" s="57">
        <v>0</v>
      </c>
      <c r="U40" s="355">
        <v>0</v>
      </c>
      <c r="V40" s="414"/>
      <c r="W40" s="1"/>
    </row>
    <row r="41" spans="1:23" ht="15.75">
      <c r="A41" s="350" t="s">
        <v>24</v>
      </c>
      <c r="B41" s="22" t="s">
        <v>25</v>
      </c>
      <c r="C41" s="23"/>
      <c r="D41" s="23"/>
      <c r="E41" s="24"/>
      <c r="F41" s="8" t="s">
        <v>18</v>
      </c>
      <c r="G41" s="315">
        <v>98.5</v>
      </c>
      <c r="H41" s="315">
        <v>98.37</v>
      </c>
      <c r="I41" s="315">
        <f t="shared" si="8"/>
        <v>0.12999999999999545</v>
      </c>
      <c r="J41" s="315">
        <v>192.32</v>
      </c>
      <c r="K41" s="314">
        <f>'Физика на 2015 '!J103</f>
        <v>148.36044592000002</v>
      </c>
      <c r="L41" s="90">
        <f>'Физика на 2015 '!L103</f>
        <v>163.64157184976</v>
      </c>
      <c r="M41" s="90">
        <f t="shared" si="9"/>
        <v>156.00100888488001</v>
      </c>
      <c r="N41" s="90">
        <v>208.47</v>
      </c>
      <c r="O41" s="90">
        <f>L41</f>
        <v>163.64157184976</v>
      </c>
      <c r="P41" s="90">
        <f>(Q41-O41/2)*2</f>
        <v>191.1333559205197</v>
      </c>
      <c r="Q41" s="90">
        <f>O41*1.084</f>
        <v>177.38746388513985</v>
      </c>
      <c r="R41" s="90">
        <v>224.94</v>
      </c>
      <c r="S41" s="90">
        <f>P41</f>
        <v>191.1333559205197</v>
      </c>
      <c r="T41" s="90">
        <f>(U41-S41/2)*2</f>
        <v>191.66879114361205</v>
      </c>
      <c r="U41" s="366">
        <f>Q41*1.079</f>
        <v>191.40107353206588</v>
      </c>
      <c r="V41" s="414"/>
      <c r="W41" s="1"/>
    </row>
    <row r="42" spans="1:23" ht="15.75">
      <c r="A42" s="367" t="s">
        <v>26</v>
      </c>
      <c r="B42" s="10" t="s">
        <v>221</v>
      </c>
      <c r="C42" s="11"/>
      <c r="D42" s="11"/>
      <c r="E42" s="21"/>
      <c r="F42" s="95" t="s">
        <v>18</v>
      </c>
      <c r="G42" s="57">
        <v>13.07</v>
      </c>
      <c r="H42" s="57">
        <v>2.97</v>
      </c>
      <c r="I42" s="57">
        <f t="shared" si="8"/>
        <v>10.1</v>
      </c>
      <c r="J42" s="57">
        <v>19.260000000000002</v>
      </c>
      <c r="K42" s="63">
        <f>K43*K44/1000</f>
        <v>5.2120860000000002</v>
      </c>
      <c r="L42" s="63">
        <f>L43*L44/1000</f>
        <v>5.8792330079999999</v>
      </c>
      <c r="M42" s="63">
        <f t="shared" si="9"/>
        <v>5.5456595039999996</v>
      </c>
      <c r="N42" s="63">
        <v>20.88</v>
      </c>
      <c r="O42" s="64">
        <f>O43*O44/1000</f>
        <v>5.8792330079999999</v>
      </c>
      <c r="P42" s="64">
        <f>P43*P44/1000</f>
        <v>6.6317748330239992</v>
      </c>
      <c r="Q42" s="64">
        <f>Q43*Q44/1000</f>
        <v>6.255503920512</v>
      </c>
      <c r="R42" s="64">
        <v>22.53</v>
      </c>
      <c r="S42" s="64">
        <f>S43*S44/1000</f>
        <v>6.6317748330239992</v>
      </c>
      <c r="T42" s="63">
        <f>T43*T44/1000</f>
        <v>7.4806420116510717</v>
      </c>
      <c r="U42" s="362">
        <f>U43*U44/1000</f>
        <v>7.0562084223375363</v>
      </c>
      <c r="V42" s="414"/>
      <c r="W42" s="1"/>
    </row>
    <row r="43" spans="1:23" ht="15.75">
      <c r="A43" s="368"/>
      <c r="B43" s="15" t="s">
        <v>217</v>
      </c>
      <c r="C43" s="11"/>
      <c r="D43" s="11"/>
      <c r="E43" s="21"/>
      <c r="F43" s="95" t="s">
        <v>27</v>
      </c>
      <c r="G43" s="57"/>
      <c r="H43" s="57"/>
      <c r="I43" s="57"/>
      <c r="J43" s="57">
        <v>715.72</v>
      </c>
      <c r="K43" s="57">
        <f>'Физика на 2015 '!J107*1000</f>
        <v>207.24000000000004</v>
      </c>
      <c r="L43" s="57">
        <f>'факт 2014 года'!K43</f>
        <v>207.24000000000004</v>
      </c>
      <c r="M43" s="64">
        <f t="shared" si="9"/>
        <v>207.24000000000004</v>
      </c>
      <c r="N43" s="64">
        <v>715.72</v>
      </c>
      <c r="O43" s="57">
        <f>L43</f>
        <v>207.24000000000004</v>
      </c>
      <c r="P43" s="57">
        <f>O43</f>
        <v>207.24000000000004</v>
      </c>
      <c r="Q43" s="57">
        <f>P43</f>
        <v>207.24000000000004</v>
      </c>
      <c r="R43" s="57">
        <v>715.72</v>
      </c>
      <c r="S43" s="57">
        <f>P43</f>
        <v>207.24000000000004</v>
      </c>
      <c r="T43" s="57">
        <f>Q43</f>
        <v>207.24000000000004</v>
      </c>
      <c r="U43" s="355">
        <f>T43</f>
        <v>207.24000000000004</v>
      </c>
      <c r="V43" s="414"/>
      <c r="W43" s="1"/>
    </row>
    <row r="44" spans="1:23" ht="16.5" thickBot="1">
      <c r="A44" s="372"/>
      <c r="B44" s="15" t="s">
        <v>218</v>
      </c>
      <c r="C44" s="11"/>
      <c r="D44" s="11"/>
      <c r="E44" s="21"/>
      <c r="F44" s="95" t="s">
        <v>183</v>
      </c>
      <c r="G44" s="57"/>
      <c r="H44" s="57"/>
      <c r="I44" s="57"/>
      <c r="J44" s="57">
        <v>25.15</v>
      </c>
      <c r="K44" s="64">
        <f>'Физика на 2015 '!J110</f>
        <v>25.15</v>
      </c>
      <c r="L44" s="64">
        <f>'Физика на 2015 '!L110</f>
        <v>28.369199999999996</v>
      </c>
      <c r="M44" s="64">
        <f>(K44+L44)/2</f>
        <v>26.759599999999999</v>
      </c>
      <c r="N44" s="64">
        <v>27.26</v>
      </c>
      <c r="O44" s="64">
        <f>L44</f>
        <v>28.369199999999996</v>
      </c>
      <c r="P44" s="18">
        <f>(Q44-O44/2)*2</f>
        <v>32.00045759999999</v>
      </c>
      <c r="Q44" s="64">
        <f>M44*1.128</f>
        <v>30.184828799999995</v>
      </c>
      <c r="R44" s="64">
        <v>29.42</v>
      </c>
      <c r="S44" s="64">
        <f>P44</f>
        <v>32.00045759999999</v>
      </c>
      <c r="T44" s="64">
        <f>(U44-S44/2)*2</f>
        <v>36.096516172799994</v>
      </c>
      <c r="U44" s="363">
        <f>Q44*1.128</f>
        <v>34.048486886399992</v>
      </c>
      <c r="V44" s="414"/>
      <c r="W44" s="1"/>
    </row>
    <row r="45" spans="1:23" ht="16.5" customHeight="1" thickBot="1">
      <c r="A45" s="832" t="s">
        <v>28</v>
      </c>
      <c r="B45" s="833"/>
      <c r="C45" s="833"/>
      <c r="D45" s="833"/>
      <c r="E45" s="833"/>
      <c r="F45" s="833"/>
      <c r="G45" s="833"/>
      <c r="H45" s="833"/>
      <c r="I45" s="833"/>
      <c r="J45" s="833"/>
      <c r="K45" s="833"/>
      <c r="L45" s="833"/>
      <c r="M45" s="833"/>
      <c r="N45" s="833"/>
      <c r="O45" s="833"/>
      <c r="P45" s="833"/>
      <c r="Q45" s="833"/>
      <c r="R45" s="833"/>
      <c r="S45" s="833"/>
      <c r="T45" s="833"/>
      <c r="U45" s="834"/>
      <c r="V45" s="414"/>
      <c r="W45" s="1"/>
    </row>
    <row r="46" spans="1:23" ht="18.75" customHeight="1">
      <c r="A46" s="379">
        <v>1</v>
      </c>
      <c r="B46" s="44" t="s">
        <v>29</v>
      </c>
      <c r="C46" s="38"/>
      <c r="D46" s="27"/>
      <c r="E46" s="52"/>
      <c r="F46" s="96" t="s">
        <v>18</v>
      </c>
      <c r="G46" s="79"/>
      <c r="H46" s="79"/>
      <c r="I46" s="79"/>
      <c r="J46" s="79">
        <v>2018.31</v>
      </c>
      <c r="K46" s="79"/>
      <c r="L46" s="66"/>
      <c r="M46" s="83"/>
      <c r="N46" s="83">
        <v>2187.85</v>
      </c>
      <c r="O46" s="83"/>
      <c r="P46" s="83"/>
      <c r="Q46" s="83"/>
      <c r="R46" s="83"/>
      <c r="S46" s="83"/>
      <c r="T46" s="83"/>
      <c r="U46" s="415"/>
      <c r="V46" s="414"/>
      <c r="W46" s="1"/>
    </row>
    <row r="47" spans="1:23" ht="18.75" customHeight="1">
      <c r="A47" s="350">
        <v>2</v>
      </c>
      <c r="B47" s="22" t="s">
        <v>30</v>
      </c>
      <c r="C47" s="23"/>
      <c r="D47" s="29"/>
      <c r="E47" s="23"/>
      <c r="F47" s="8" t="s">
        <v>18</v>
      </c>
      <c r="G47" s="68">
        <v>316.89999999999998</v>
      </c>
      <c r="H47" s="68">
        <v>316.8</v>
      </c>
      <c r="I47" s="68">
        <f t="shared" ref="I47:I54" si="10">G47-H47</f>
        <v>9.9999999999965894E-2</v>
      </c>
      <c r="J47" s="68">
        <v>2453.92</v>
      </c>
      <c r="K47" s="69">
        <v>297.67951343287803</v>
      </c>
      <c r="L47" s="65">
        <v>275.82693143508635</v>
      </c>
      <c r="M47" s="69">
        <f>(K47+L47)/2</f>
        <v>286.75322243398216</v>
      </c>
      <c r="N47" s="69">
        <v>2660.05</v>
      </c>
      <c r="O47" s="69">
        <f>L47</f>
        <v>275.82693143508635</v>
      </c>
      <c r="P47" s="69" t="e">
        <f>(Q47-O47/2)*2</f>
        <v>#REF!</v>
      </c>
      <c r="Q47" s="69" t="e">
        <f>M47*#REF!</f>
        <v>#REF!</v>
      </c>
      <c r="R47" s="69">
        <v>2870.19</v>
      </c>
      <c r="S47" s="69" t="e">
        <f>P47</f>
        <v>#REF!</v>
      </c>
      <c r="T47" s="30" t="e">
        <f>(U47-S47/2)*2</f>
        <v>#REF!</v>
      </c>
      <c r="U47" s="369" t="e">
        <f>Q47*#REF!</f>
        <v>#REF!</v>
      </c>
      <c r="V47" s="414"/>
      <c r="W47" s="1"/>
    </row>
    <row r="48" spans="1:23" ht="18" customHeight="1">
      <c r="A48" s="370">
        <v>3</v>
      </c>
      <c r="B48" s="22" t="s">
        <v>31</v>
      </c>
      <c r="C48" s="23"/>
      <c r="D48" s="31"/>
      <c r="E48" s="29"/>
      <c r="F48" s="8" t="s">
        <v>18</v>
      </c>
      <c r="G48" s="68">
        <v>2136</v>
      </c>
      <c r="H48" s="68">
        <v>1582.57</v>
      </c>
      <c r="I48" s="68">
        <f t="shared" si="10"/>
        <v>553.43000000000006</v>
      </c>
      <c r="J48" s="68">
        <v>3276.4</v>
      </c>
      <c r="K48" s="73">
        <v>1895.35</v>
      </c>
      <c r="L48" s="327">
        <f>L49</f>
        <v>2028.0245</v>
      </c>
      <c r="M48" s="73">
        <f t="shared" si="9"/>
        <v>1961.6872499999999</v>
      </c>
      <c r="N48" s="73">
        <v>3551.62</v>
      </c>
      <c r="O48" s="73">
        <f>L48</f>
        <v>2028.0245</v>
      </c>
      <c r="P48" s="73" t="e">
        <f>(Q48-O48/2)*2</f>
        <v>#REF!</v>
      </c>
      <c r="Q48" s="73" t="e">
        <f>M48*#REF!</f>
        <v>#REF!</v>
      </c>
      <c r="R48" s="73">
        <v>3832.2</v>
      </c>
      <c r="S48" s="73" t="e">
        <f t="shared" ref="S48:U49" si="11">S52*S50*12/1000</f>
        <v>#REF!</v>
      </c>
      <c r="T48" s="32" t="e">
        <f>(U48-S48/2)*2</f>
        <v>#REF!</v>
      </c>
      <c r="U48" s="371" t="e">
        <f t="shared" si="11"/>
        <v>#REF!</v>
      </c>
      <c r="V48" s="414"/>
      <c r="W48" s="1"/>
    </row>
    <row r="49" spans="1:23" ht="15.75">
      <c r="A49" s="372"/>
      <c r="B49" s="15" t="s">
        <v>184</v>
      </c>
      <c r="C49" s="14"/>
      <c r="D49" s="12"/>
      <c r="E49" s="11"/>
      <c r="F49" s="94" t="s">
        <v>18</v>
      </c>
      <c r="G49" s="71">
        <v>1620</v>
      </c>
      <c r="H49" s="71">
        <v>828.61</v>
      </c>
      <c r="I49" s="71">
        <f t="shared" si="10"/>
        <v>791.39</v>
      </c>
      <c r="J49" s="71">
        <v>2176.6</v>
      </c>
      <c r="K49" s="70">
        <v>1895.35</v>
      </c>
      <c r="L49" s="70">
        <f>L53*12*L51/1000</f>
        <v>2028.0245</v>
      </c>
      <c r="M49" s="70">
        <f t="shared" si="9"/>
        <v>1961.6872499999999</v>
      </c>
      <c r="N49" s="70">
        <v>2359.4299999999998</v>
      </c>
      <c r="O49" s="70">
        <f>L49</f>
        <v>2028.0245</v>
      </c>
      <c r="P49" s="70" t="e">
        <f>(Q49-O49/2)*2</f>
        <v>#REF!</v>
      </c>
      <c r="Q49" s="70" t="e">
        <f>Q51*Q53*12/1000</f>
        <v>#REF!</v>
      </c>
      <c r="R49" s="70">
        <v>2545.83</v>
      </c>
      <c r="S49" s="70" t="e">
        <f t="shared" si="11"/>
        <v>#REF!</v>
      </c>
      <c r="T49" s="33" t="e">
        <f>(U49-S49/2)*2</f>
        <v>#REF!</v>
      </c>
      <c r="U49" s="373" t="e">
        <f t="shared" si="11"/>
        <v>#REF!</v>
      </c>
      <c r="V49" s="414"/>
      <c r="W49" s="1"/>
    </row>
    <row r="50" spans="1:23" ht="15.75">
      <c r="A50" s="372"/>
      <c r="B50" s="15" t="s">
        <v>185</v>
      </c>
      <c r="C50" s="14"/>
      <c r="D50" s="12"/>
      <c r="E50" s="11"/>
      <c r="F50" s="95" t="s">
        <v>32</v>
      </c>
      <c r="G50" s="71">
        <v>13</v>
      </c>
      <c r="H50" s="71">
        <v>10.199999999999999</v>
      </c>
      <c r="I50" s="71">
        <f t="shared" si="10"/>
        <v>2.8000000000000007</v>
      </c>
      <c r="J50" s="71">
        <v>13</v>
      </c>
      <c r="K50" s="72">
        <v>8</v>
      </c>
      <c r="L50" s="72">
        <v>8</v>
      </c>
      <c r="M50" s="72">
        <f t="shared" si="9"/>
        <v>8</v>
      </c>
      <c r="N50" s="72">
        <v>13</v>
      </c>
      <c r="O50" s="72">
        <f>L50</f>
        <v>8</v>
      </c>
      <c r="P50" s="72">
        <f>O50</f>
        <v>8</v>
      </c>
      <c r="Q50" s="72">
        <f>P50</f>
        <v>8</v>
      </c>
      <c r="R50" s="72">
        <v>13</v>
      </c>
      <c r="S50" s="72">
        <f>Q50</f>
        <v>8</v>
      </c>
      <c r="T50" s="34">
        <f>S50</f>
        <v>8</v>
      </c>
      <c r="U50" s="374">
        <f>T50</f>
        <v>8</v>
      </c>
      <c r="V50" s="414"/>
      <c r="W50" s="1"/>
    </row>
    <row r="51" spans="1:23" ht="15.75">
      <c r="A51" s="375"/>
      <c r="B51" s="15" t="s">
        <v>186</v>
      </c>
      <c r="C51" s="11"/>
      <c r="D51" s="12"/>
      <c r="E51" s="21"/>
      <c r="F51" s="95" t="s">
        <v>32</v>
      </c>
      <c r="G51" s="71">
        <v>8</v>
      </c>
      <c r="H51" s="71">
        <v>7</v>
      </c>
      <c r="I51" s="71">
        <f t="shared" si="10"/>
        <v>1</v>
      </c>
      <c r="J51" s="71">
        <v>8</v>
      </c>
      <c r="K51" s="71">
        <v>8</v>
      </c>
      <c r="L51" s="59">
        <f>K51</f>
        <v>8</v>
      </c>
      <c r="M51" s="70">
        <f t="shared" si="9"/>
        <v>8</v>
      </c>
      <c r="N51" s="70">
        <v>8</v>
      </c>
      <c r="O51" s="72">
        <f>L51</f>
        <v>8</v>
      </c>
      <c r="P51" s="72">
        <f>O51</f>
        <v>8</v>
      </c>
      <c r="Q51" s="72">
        <f>P51</f>
        <v>8</v>
      </c>
      <c r="R51" s="72">
        <v>8</v>
      </c>
      <c r="S51" s="72">
        <f>Q51</f>
        <v>8</v>
      </c>
      <c r="T51" s="34">
        <f>S51</f>
        <v>8</v>
      </c>
      <c r="U51" s="374">
        <f>T51</f>
        <v>8</v>
      </c>
      <c r="V51" s="414"/>
      <c r="W51" s="1"/>
    </row>
    <row r="52" spans="1:23" ht="15.75">
      <c r="A52" s="375"/>
      <c r="B52" s="15" t="s">
        <v>34</v>
      </c>
      <c r="C52" s="11"/>
      <c r="D52" s="12" t="s">
        <v>187</v>
      </c>
      <c r="E52" s="11"/>
      <c r="F52" s="95" t="s">
        <v>33</v>
      </c>
      <c r="G52" s="71">
        <v>13692</v>
      </c>
      <c r="H52" s="71">
        <v>12929.48</v>
      </c>
      <c r="I52" s="71"/>
      <c r="J52" s="72">
        <f>J48/12/J50*1000</f>
        <v>21002.564102564105</v>
      </c>
      <c r="K52" s="72">
        <f>K48/K50/12*1000</f>
        <v>19743.229166666664</v>
      </c>
      <c r="L52" s="72">
        <f>L48/L50/12*1000</f>
        <v>21125.255208333332</v>
      </c>
      <c r="M52" s="72">
        <f t="shared" si="9"/>
        <v>20434.2421875</v>
      </c>
      <c r="N52" s="72">
        <v>22766.17</v>
      </c>
      <c r="O52" s="72">
        <f t="shared" ref="O52:Q53" si="12">O48/O50/12*1000</f>
        <v>21125.255208333332</v>
      </c>
      <c r="P52" s="72" t="e">
        <f t="shared" si="12"/>
        <v>#REF!</v>
      </c>
      <c r="Q52" s="72" t="e">
        <f t="shared" si="12"/>
        <v>#REF!</v>
      </c>
      <c r="R52" s="72">
        <v>24564.7</v>
      </c>
      <c r="S52" s="72" t="e">
        <f>P52</f>
        <v>#REF!</v>
      </c>
      <c r="T52" s="34" t="e">
        <f>T48/T50/12*1000</f>
        <v>#REF!</v>
      </c>
      <c r="U52" s="374" t="e">
        <f>Q52*#REF!</f>
        <v>#REF!</v>
      </c>
      <c r="V52" s="414"/>
      <c r="W52" s="1"/>
    </row>
    <row r="53" spans="1:23" ht="15.75">
      <c r="A53" s="375"/>
      <c r="B53" s="15" t="s">
        <v>184</v>
      </c>
      <c r="C53" s="11"/>
      <c r="D53" s="12"/>
      <c r="E53" s="11"/>
      <c r="F53" s="95" t="s">
        <v>33</v>
      </c>
      <c r="G53" s="71">
        <v>16875</v>
      </c>
      <c r="H53" s="71">
        <v>9864.35</v>
      </c>
      <c r="I53" s="71"/>
      <c r="J53" s="72">
        <v>22673</v>
      </c>
      <c r="K53" s="72">
        <f>K49/K51/12*1000</f>
        <v>19743.229166666664</v>
      </c>
      <c r="L53" s="59">
        <f>K53*1.07</f>
        <v>21125.255208333332</v>
      </c>
      <c r="M53" s="70">
        <f t="shared" si="9"/>
        <v>20434.2421875</v>
      </c>
      <c r="N53" s="70">
        <v>24577.53</v>
      </c>
      <c r="O53" s="72">
        <f t="shared" si="12"/>
        <v>21125.255208333332</v>
      </c>
      <c r="P53" s="72" t="e">
        <f t="shared" si="12"/>
        <v>#REF!</v>
      </c>
      <c r="Q53" s="72" t="e">
        <f>M53*#REF!</f>
        <v>#REF!</v>
      </c>
      <c r="R53" s="72">
        <v>26519.16</v>
      </c>
      <c r="S53" s="72" t="e">
        <f>P53</f>
        <v>#REF!</v>
      </c>
      <c r="T53" s="34" t="e">
        <f>T49/T51/12*1000</f>
        <v>#REF!</v>
      </c>
      <c r="U53" s="374" t="e">
        <f>Q53*#REF!</f>
        <v>#REF!</v>
      </c>
      <c r="V53" s="414"/>
      <c r="W53" s="1"/>
    </row>
    <row r="54" spans="1:23" ht="15.75">
      <c r="A54" s="376">
        <v>4</v>
      </c>
      <c r="B54" s="35" t="s">
        <v>35</v>
      </c>
      <c r="C54" s="35"/>
      <c r="D54" s="4"/>
      <c r="E54" s="35"/>
      <c r="F54" s="94" t="s">
        <v>18</v>
      </c>
      <c r="G54" s="56">
        <v>11</v>
      </c>
      <c r="H54" s="56">
        <v>10.86</v>
      </c>
      <c r="I54" s="56">
        <f t="shared" si="10"/>
        <v>0.14000000000000057</v>
      </c>
      <c r="J54" s="56">
        <v>16.100000000000001</v>
      </c>
      <c r="K54" s="74">
        <v>19.3</v>
      </c>
      <c r="L54" s="74">
        <f>K54</f>
        <v>19.3</v>
      </c>
      <c r="M54" s="82">
        <f t="shared" si="9"/>
        <v>19.3</v>
      </c>
      <c r="N54" s="82">
        <v>17.45</v>
      </c>
      <c r="O54" s="82">
        <f>L54</f>
        <v>19.3</v>
      </c>
      <c r="P54" s="82" t="e">
        <f>(Q54-O54/2)*2</f>
        <v>#REF!</v>
      </c>
      <c r="Q54" s="82" t="e">
        <f>M54*#REF!</f>
        <v>#REF!</v>
      </c>
      <c r="R54" s="82">
        <v>18.829999999999998</v>
      </c>
      <c r="S54" s="82" t="e">
        <f>P54</f>
        <v>#REF!</v>
      </c>
      <c r="T54" s="37" t="e">
        <f>(U54-S54/2)*2</f>
        <v>#REF!</v>
      </c>
      <c r="U54" s="377" t="e">
        <f>Q54*#REF!</f>
        <v>#REF!</v>
      </c>
      <c r="V54" s="414"/>
      <c r="W54" s="1"/>
    </row>
    <row r="55" spans="1:23" ht="15.75">
      <c r="A55" s="378"/>
      <c r="B55" s="14" t="s">
        <v>36</v>
      </c>
      <c r="C55" s="14"/>
      <c r="D55" s="14"/>
      <c r="E55" s="14"/>
      <c r="F55" s="95"/>
      <c r="G55" s="57"/>
      <c r="H55" s="57"/>
      <c r="I55" s="57"/>
      <c r="J55" s="57"/>
      <c r="K55" s="64"/>
      <c r="L55" s="64"/>
      <c r="M55" s="72"/>
      <c r="N55" s="72"/>
      <c r="O55" s="72"/>
      <c r="P55" s="72"/>
      <c r="Q55" s="72"/>
      <c r="R55" s="72"/>
      <c r="S55" s="72"/>
      <c r="T55" s="34"/>
      <c r="U55" s="374"/>
      <c r="V55" s="414"/>
      <c r="W55" s="1"/>
    </row>
    <row r="56" spans="1:23" ht="15.75">
      <c r="A56" s="379"/>
      <c r="B56" s="38" t="s">
        <v>37</v>
      </c>
      <c r="C56" s="38"/>
      <c r="D56" s="38"/>
      <c r="E56" s="38"/>
      <c r="F56" s="96"/>
      <c r="G56" s="79"/>
      <c r="H56" s="79"/>
      <c r="I56" s="79"/>
      <c r="J56" s="79"/>
      <c r="K56" s="66"/>
      <c r="L56" s="66"/>
      <c r="M56" s="83"/>
      <c r="N56" s="83"/>
      <c r="O56" s="83"/>
      <c r="P56" s="83"/>
      <c r="Q56" s="83"/>
      <c r="R56" s="83"/>
      <c r="S56" s="83"/>
      <c r="T56" s="40"/>
      <c r="U56" s="380"/>
      <c r="V56" s="414"/>
      <c r="W56" s="1"/>
    </row>
    <row r="57" spans="1:23" ht="15.75">
      <c r="A57" s="376">
        <v>5</v>
      </c>
      <c r="B57" s="41" t="s">
        <v>38</v>
      </c>
      <c r="C57" s="42"/>
      <c r="D57" s="42"/>
      <c r="E57" s="43"/>
      <c r="F57" s="94" t="s">
        <v>18</v>
      </c>
      <c r="G57" s="56">
        <v>80</v>
      </c>
      <c r="H57" s="56"/>
      <c r="I57" s="74">
        <f>G57-H57</f>
        <v>80</v>
      </c>
      <c r="J57" s="74">
        <v>80</v>
      </c>
      <c r="K57" s="74">
        <f>K59+K60+K61+K62+K63</f>
        <v>80.000000000000014</v>
      </c>
      <c r="L57" s="74">
        <f t="shared" ref="L57:U57" si="13">L59+L60+L61+L62+L63</f>
        <v>80.000000000000014</v>
      </c>
      <c r="M57" s="82">
        <f t="shared" si="9"/>
        <v>80.000000000000014</v>
      </c>
      <c r="N57" s="82">
        <v>86.72</v>
      </c>
      <c r="O57" s="82">
        <f t="shared" si="13"/>
        <v>80.000000000000014</v>
      </c>
      <c r="P57" s="82" t="e">
        <f>P63</f>
        <v>#REF!</v>
      </c>
      <c r="Q57" s="82" t="e">
        <f t="shared" si="13"/>
        <v>#REF!</v>
      </c>
      <c r="R57" s="82">
        <f>R63</f>
        <v>93.57</v>
      </c>
      <c r="S57" s="82" t="e">
        <f t="shared" si="13"/>
        <v>#REF!</v>
      </c>
      <c r="T57" s="37" t="e">
        <f t="shared" si="13"/>
        <v>#REF!</v>
      </c>
      <c r="U57" s="377" t="e">
        <f t="shared" si="13"/>
        <v>#REF!</v>
      </c>
      <c r="V57" s="414"/>
      <c r="W57" s="1"/>
    </row>
    <row r="58" spans="1:23" ht="15.75">
      <c r="A58" s="381"/>
      <c r="B58" s="44" t="s">
        <v>39</v>
      </c>
      <c r="C58" s="45"/>
      <c r="D58" s="45"/>
      <c r="E58" s="46"/>
      <c r="F58" s="47"/>
      <c r="G58" s="297"/>
      <c r="H58" s="297"/>
      <c r="I58" s="328"/>
      <c r="J58" s="328"/>
      <c r="K58" s="330"/>
      <c r="L58" s="331"/>
      <c r="M58" s="335"/>
      <c r="N58" s="335"/>
      <c r="O58" s="72"/>
      <c r="P58" s="72"/>
      <c r="Q58" s="72"/>
      <c r="R58" s="72"/>
      <c r="S58" s="72"/>
      <c r="T58" s="34"/>
      <c r="U58" s="374"/>
      <c r="V58" s="414"/>
      <c r="W58" s="1"/>
    </row>
    <row r="59" spans="1:23" ht="15.75">
      <c r="A59" s="382" t="s">
        <v>40</v>
      </c>
      <c r="B59" s="9" t="s">
        <v>41</v>
      </c>
      <c r="C59" s="48"/>
      <c r="D59" s="42"/>
      <c r="E59" s="43"/>
      <c r="F59" s="95" t="s">
        <v>6</v>
      </c>
      <c r="G59" s="75"/>
      <c r="H59" s="75"/>
      <c r="I59" s="76"/>
      <c r="J59" s="76"/>
      <c r="K59" s="76"/>
      <c r="L59" s="74"/>
      <c r="M59" s="74"/>
      <c r="N59" s="74"/>
      <c r="O59" s="74"/>
      <c r="P59" s="74"/>
      <c r="Q59" s="74"/>
      <c r="R59" s="74"/>
      <c r="S59" s="74"/>
      <c r="T59" s="36"/>
      <c r="U59" s="383"/>
      <c r="V59" s="414"/>
      <c r="W59" s="1"/>
    </row>
    <row r="60" spans="1:23" ht="15.75">
      <c r="A60" s="382" t="s">
        <v>42</v>
      </c>
      <c r="B60" s="15" t="s">
        <v>43</v>
      </c>
      <c r="C60" s="11"/>
      <c r="D60" s="11"/>
      <c r="E60" s="21"/>
      <c r="F60" s="95" t="s">
        <v>6</v>
      </c>
      <c r="G60" s="75"/>
      <c r="H60" s="75"/>
      <c r="I60" s="76"/>
      <c r="J60" s="76"/>
      <c r="K60" s="76"/>
      <c r="L60" s="64"/>
      <c r="M60" s="64"/>
      <c r="N60" s="64"/>
      <c r="O60" s="64"/>
      <c r="P60" s="64"/>
      <c r="Q60" s="64"/>
      <c r="R60" s="64"/>
      <c r="S60" s="64"/>
      <c r="T60" s="18"/>
      <c r="U60" s="384"/>
      <c r="V60" s="414"/>
      <c r="W60" s="1"/>
    </row>
    <row r="61" spans="1:23" ht="15.75">
      <c r="A61" s="382" t="s">
        <v>44</v>
      </c>
      <c r="B61" s="15" t="s">
        <v>45</v>
      </c>
      <c r="C61" s="11"/>
      <c r="D61" s="11"/>
      <c r="E61" s="21"/>
      <c r="F61" s="95" t="s">
        <v>6</v>
      </c>
      <c r="G61" s="75"/>
      <c r="H61" s="75"/>
      <c r="I61" s="76"/>
      <c r="J61" s="76"/>
      <c r="K61" s="76"/>
      <c r="L61" s="64"/>
      <c r="M61" s="64"/>
      <c r="N61" s="64"/>
      <c r="O61" s="64"/>
      <c r="P61" s="64"/>
      <c r="Q61" s="64"/>
      <c r="R61" s="64"/>
      <c r="S61" s="64"/>
      <c r="T61" s="18"/>
      <c r="U61" s="384"/>
      <c r="V61" s="414"/>
      <c r="W61" s="1"/>
    </row>
    <row r="62" spans="1:23" ht="15.75">
      <c r="A62" s="382" t="s">
        <v>46</v>
      </c>
      <c r="B62" s="15" t="s">
        <v>47</v>
      </c>
      <c r="C62" s="11"/>
      <c r="D62" s="11"/>
      <c r="E62" s="21"/>
      <c r="F62" s="95"/>
      <c r="G62" s="75"/>
      <c r="H62" s="75"/>
      <c r="I62" s="76"/>
      <c r="J62" s="76"/>
      <c r="K62" s="76"/>
      <c r="L62" s="64"/>
      <c r="M62" s="64"/>
      <c r="N62" s="64"/>
      <c r="O62" s="64"/>
      <c r="P62" s="64"/>
      <c r="Q62" s="64"/>
      <c r="R62" s="64"/>
      <c r="S62" s="64"/>
      <c r="T62" s="18"/>
      <c r="U62" s="384"/>
      <c r="V62" s="414"/>
      <c r="W62" s="1"/>
    </row>
    <row r="63" spans="1:23" ht="15.75">
      <c r="A63" s="382" t="s">
        <v>48</v>
      </c>
      <c r="B63" s="26" t="s">
        <v>49</v>
      </c>
      <c r="C63" s="27"/>
      <c r="D63" s="27"/>
      <c r="E63" s="28"/>
      <c r="F63" s="96" t="s">
        <v>6</v>
      </c>
      <c r="G63" s="75">
        <v>80</v>
      </c>
      <c r="H63" s="75"/>
      <c r="I63" s="76">
        <f>G63-H63</f>
        <v>80</v>
      </c>
      <c r="J63" s="76">
        <v>80</v>
      </c>
      <c r="K63" s="76">
        <f>(59+35.4)/1.18</f>
        <v>80.000000000000014</v>
      </c>
      <c r="L63" s="66">
        <f>K63</f>
        <v>80.000000000000014</v>
      </c>
      <c r="M63" s="66">
        <f t="shared" si="9"/>
        <v>80.000000000000014</v>
      </c>
      <c r="N63" s="66">
        <v>86.72</v>
      </c>
      <c r="O63" s="66">
        <f>L63</f>
        <v>80.000000000000014</v>
      </c>
      <c r="P63" s="66" t="e">
        <f>(Q63-O63/2)*2</f>
        <v>#REF!</v>
      </c>
      <c r="Q63" s="66" t="e">
        <f>M63*#REF!</f>
        <v>#REF!</v>
      </c>
      <c r="R63" s="66">
        <v>93.57</v>
      </c>
      <c r="S63" s="66" t="e">
        <f>P63</f>
        <v>#REF!</v>
      </c>
      <c r="T63" s="39" t="e">
        <f>(U63-S63/2)*2</f>
        <v>#REF!</v>
      </c>
      <c r="U63" s="385" t="e">
        <f>Q63*#REF!</f>
        <v>#REF!</v>
      </c>
      <c r="V63" s="414"/>
      <c r="W63" s="1"/>
    </row>
    <row r="64" spans="1:23" ht="15.75">
      <c r="A64" s="386" t="s">
        <v>50</v>
      </c>
      <c r="B64" s="23" t="s">
        <v>51</v>
      </c>
      <c r="C64" s="29"/>
      <c r="D64" s="29"/>
      <c r="E64" s="29"/>
      <c r="F64" s="8" t="s">
        <v>6</v>
      </c>
      <c r="G64" s="78"/>
      <c r="H64" s="78"/>
      <c r="I64" s="77"/>
      <c r="J64" s="77"/>
      <c r="K64" s="77"/>
      <c r="L64" s="66"/>
      <c r="M64" s="66"/>
      <c r="N64" s="66"/>
      <c r="O64" s="66"/>
      <c r="P64" s="66"/>
      <c r="Q64" s="66"/>
      <c r="R64" s="66"/>
      <c r="S64" s="66"/>
      <c r="T64" s="39"/>
      <c r="U64" s="385"/>
      <c r="V64" s="414"/>
      <c r="W64" s="1"/>
    </row>
    <row r="65" spans="1:23" ht="15.75">
      <c r="A65" s="386" t="s">
        <v>52</v>
      </c>
      <c r="B65" s="22" t="s">
        <v>53</v>
      </c>
      <c r="C65" s="29"/>
      <c r="D65" s="29"/>
      <c r="E65" s="29"/>
      <c r="F65" s="8" t="s">
        <v>6</v>
      </c>
      <c r="G65" s="67"/>
      <c r="H65" s="67"/>
      <c r="I65" s="65"/>
      <c r="J65" s="65"/>
      <c r="K65" s="65"/>
      <c r="L65" s="66"/>
      <c r="M65" s="66"/>
      <c r="N65" s="66"/>
      <c r="O65" s="66"/>
      <c r="P65" s="66"/>
      <c r="Q65" s="66"/>
      <c r="R65" s="66"/>
      <c r="S65" s="66"/>
      <c r="T65" s="39"/>
      <c r="U65" s="385"/>
      <c r="V65" s="414"/>
      <c r="W65" s="1"/>
    </row>
    <row r="66" spans="1:23" ht="15.75">
      <c r="A66" s="386" t="s">
        <v>54</v>
      </c>
      <c r="B66" s="22" t="s">
        <v>55</v>
      </c>
      <c r="C66" s="29"/>
      <c r="D66" s="29"/>
      <c r="E66" s="29"/>
      <c r="F66" s="8" t="s">
        <v>6</v>
      </c>
      <c r="G66" s="87"/>
      <c r="H66" s="87"/>
      <c r="I66" s="89"/>
      <c r="J66" s="89"/>
      <c r="K66" s="65"/>
      <c r="L66" s="65"/>
      <c r="M66" s="68"/>
      <c r="N66" s="68"/>
      <c r="O66" s="68"/>
      <c r="P66" s="68"/>
      <c r="Q66" s="68"/>
      <c r="R66" s="68"/>
      <c r="S66" s="68"/>
      <c r="T66" s="434"/>
      <c r="U66" s="387"/>
      <c r="V66" s="414"/>
      <c r="W66" s="1"/>
    </row>
    <row r="67" spans="1:23" ht="15.75">
      <c r="A67" s="386" t="s">
        <v>56</v>
      </c>
      <c r="B67" s="22" t="s">
        <v>57</v>
      </c>
      <c r="C67" s="29"/>
      <c r="D67" s="29"/>
      <c r="E67" s="29"/>
      <c r="F67" s="95" t="s">
        <v>6</v>
      </c>
      <c r="G67" s="87"/>
      <c r="H67" s="87"/>
      <c r="I67" s="89"/>
      <c r="J67" s="89"/>
      <c r="K67" s="65"/>
      <c r="L67" s="65"/>
      <c r="M67" s="69"/>
      <c r="N67" s="69"/>
      <c r="O67" s="69"/>
      <c r="P67" s="69"/>
      <c r="Q67" s="69"/>
      <c r="R67" s="69"/>
      <c r="S67" s="69"/>
      <c r="T67" s="30"/>
      <c r="U67" s="369"/>
      <c r="V67" s="414"/>
      <c r="W67" s="1"/>
    </row>
    <row r="68" spans="1:23" ht="15.75">
      <c r="A68" s="388" t="s">
        <v>58</v>
      </c>
      <c r="B68" s="35" t="s">
        <v>59</v>
      </c>
      <c r="C68" s="4"/>
      <c r="D68" s="4"/>
      <c r="E68" s="4"/>
      <c r="F68" s="94" t="s">
        <v>18</v>
      </c>
      <c r="G68" s="298">
        <v>38</v>
      </c>
      <c r="H68" s="298">
        <v>32.1</v>
      </c>
      <c r="I68" s="329">
        <f>G68-H68</f>
        <v>5.8999999999999986</v>
      </c>
      <c r="J68" s="329">
        <v>60.04</v>
      </c>
      <c r="K68" s="74">
        <f>K70+K71+K72+K73+K74+K75</f>
        <v>0</v>
      </c>
      <c r="L68" s="74">
        <f>L70+L71+L72+L73+L74+L75</f>
        <v>0</v>
      </c>
      <c r="M68" s="74">
        <f t="shared" si="9"/>
        <v>0</v>
      </c>
      <c r="N68" s="74">
        <v>65.08</v>
      </c>
      <c r="O68" s="74">
        <f>O70+O71+O72+O73+O74+O75</f>
        <v>0</v>
      </c>
      <c r="P68" s="74" t="e">
        <f>P75</f>
        <v>#REF!</v>
      </c>
      <c r="Q68" s="74" t="e">
        <f>Q75</f>
        <v>#REF!</v>
      </c>
      <c r="R68" s="74">
        <v>70.22</v>
      </c>
      <c r="S68" s="74">
        <f>S75</f>
        <v>0</v>
      </c>
      <c r="T68" s="36">
        <f>T75</f>
        <v>0</v>
      </c>
      <c r="U68" s="383">
        <f>U75</f>
        <v>0</v>
      </c>
      <c r="V68" s="414"/>
      <c r="W68" s="1"/>
    </row>
    <row r="69" spans="1:23" ht="15.75" hidden="1">
      <c r="A69" s="378" t="s">
        <v>61</v>
      </c>
      <c r="B69" s="11"/>
      <c r="C69" s="11"/>
      <c r="D69" s="11"/>
      <c r="E69" s="11"/>
      <c r="F69" s="94" t="s">
        <v>18</v>
      </c>
      <c r="G69" s="57"/>
      <c r="H69" s="57"/>
      <c r="I69" s="64"/>
      <c r="J69" s="64"/>
      <c r="K69" s="64"/>
      <c r="L69" s="64"/>
      <c r="M69" s="64">
        <f t="shared" si="9"/>
        <v>0</v>
      </c>
      <c r="N69" s="64"/>
      <c r="O69" s="64"/>
      <c r="P69" s="64"/>
      <c r="Q69" s="64"/>
      <c r="R69" s="64"/>
      <c r="S69" s="64"/>
      <c r="T69" s="18"/>
      <c r="U69" s="384"/>
      <c r="V69" s="414"/>
      <c r="W69" s="1"/>
    </row>
    <row r="70" spans="1:23" ht="15.75" hidden="1">
      <c r="A70" s="354"/>
      <c r="B70" s="11"/>
      <c r="C70" s="11"/>
      <c r="D70" s="11"/>
      <c r="E70" s="11"/>
      <c r="F70" s="94" t="s">
        <v>18</v>
      </c>
      <c r="G70" s="57"/>
      <c r="H70" s="57"/>
      <c r="I70" s="64"/>
      <c r="J70" s="64"/>
      <c r="K70" s="64"/>
      <c r="L70" s="64"/>
      <c r="M70" s="59">
        <f t="shared" si="9"/>
        <v>0</v>
      </c>
      <c r="N70" s="59"/>
      <c r="O70" s="59"/>
      <c r="P70" s="59"/>
      <c r="Q70" s="59"/>
      <c r="R70" s="59"/>
      <c r="S70" s="59"/>
      <c r="T70" s="13"/>
      <c r="U70" s="389"/>
      <c r="V70" s="414"/>
      <c r="W70" s="1"/>
    </row>
    <row r="71" spans="1:23" ht="15.75" hidden="1">
      <c r="A71" s="378" t="s">
        <v>62</v>
      </c>
      <c r="B71" s="11"/>
      <c r="C71" s="11"/>
      <c r="D71" s="11"/>
      <c r="E71" s="11"/>
      <c r="F71" s="94" t="s">
        <v>18</v>
      </c>
      <c r="G71" s="57"/>
      <c r="H71" s="57"/>
      <c r="I71" s="64"/>
      <c r="J71" s="64"/>
      <c r="K71" s="64"/>
      <c r="L71" s="64"/>
      <c r="M71" s="59">
        <f t="shared" si="9"/>
        <v>0</v>
      </c>
      <c r="N71" s="59"/>
      <c r="O71" s="59"/>
      <c r="P71" s="59"/>
      <c r="Q71" s="59"/>
      <c r="R71" s="59"/>
      <c r="S71" s="59"/>
      <c r="T71" s="13"/>
      <c r="U71" s="389"/>
      <c r="V71" s="414"/>
      <c r="W71" s="1"/>
    </row>
    <row r="72" spans="1:23" ht="15.75" hidden="1">
      <c r="A72" s="378" t="s">
        <v>63</v>
      </c>
      <c r="B72" s="11"/>
      <c r="C72" s="11"/>
      <c r="D72" s="11"/>
      <c r="E72" s="11"/>
      <c r="F72" s="94" t="s">
        <v>18</v>
      </c>
      <c r="G72" s="57"/>
      <c r="H72" s="57"/>
      <c r="I72" s="64"/>
      <c r="J72" s="64"/>
      <c r="K72" s="64"/>
      <c r="L72" s="64"/>
      <c r="M72" s="57">
        <f t="shared" si="9"/>
        <v>0</v>
      </c>
      <c r="N72" s="57"/>
      <c r="O72" s="57"/>
      <c r="P72" s="57"/>
      <c r="Q72" s="57"/>
      <c r="R72" s="57"/>
      <c r="S72" s="57"/>
      <c r="T72" s="95"/>
      <c r="U72" s="390"/>
      <c r="V72" s="414"/>
      <c r="W72" s="1"/>
    </row>
    <row r="73" spans="1:23" ht="15.75" hidden="1">
      <c r="A73" s="378" t="s">
        <v>64</v>
      </c>
      <c r="B73" s="11"/>
      <c r="C73" s="11"/>
      <c r="D73" s="11"/>
      <c r="E73" s="11"/>
      <c r="F73" s="94" t="s">
        <v>18</v>
      </c>
      <c r="G73" s="57"/>
      <c r="H73" s="57"/>
      <c r="I73" s="64"/>
      <c r="J73" s="64"/>
      <c r="K73" s="64"/>
      <c r="L73" s="64"/>
      <c r="M73" s="57">
        <f t="shared" si="9"/>
        <v>0</v>
      </c>
      <c r="N73" s="57"/>
      <c r="O73" s="57"/>
      <c r="P73" s="57"/>
      <c r="Q73" s="57"/>
      <c r="R73" s="57"/>
      <c r="S73" s="57"/>
      <c r="T73" s="95"/>
      <c r="U73" s="390"/>
      <c r="V73" s="414"/>
      <c r="W73" s="1"/>
    </row>
    <row r="74" spans="1:23" ht="15.75" hidden="1">
      <c r="A74" s="378" t="s">
        <v>65</v>
      </c>
      <c r="B74" s="11"/>
      <c r="C74" s="11"/>
      <c r="D74" s="11"/>
      <c r="E74" s="11"/>
      <c r="F74" s="94" t="s">
        <v>18</v>
      </c>
      <c r="G74" s="57"/>
      <c r="H74" s="57"/>
      <c r="I74" s="64"/>
      <c r="J74" s="64"/>
      <c r="K74" s="64"/>
      <c r="L74" s="64"/>
      <c r="M74" s="57">
        <f t="shared" si="9"/>
        <v>0</v>
      </c>
      <c r="N74" s="57"/>
      <c r="O74" s="57"/>
      <c r="P74" s="57"/>
      <c r="Q74" s="57"/>
      <c r="R74" s="57"/>
      <c r="S74" s="57"/>
      <c r="T74" s="95"/>
      <c r="U74" s="390"/>
      <c r="V74" s="414"/>
      <c r="W74" s="1"/>
    </row>
    <row r="75" spans="1:23" ht="16.5" thickBot="1">
      <c r="A75" s="378" t="s">
        <v>60</v>
      </c>
      <c r="B75" s="688" t="s">
        <v>226</v>
      </c>
      <c r="C75" s="689"/>
      <c r="D75" s="689"/>
      <c r="E75" s="690"/>
      <c r="F75" s="95" t="s">
        <v>18</v>
      </c>
      <c r="G75" s="57">
        <v>38</v>
      </c>
      <c r="H75" s="57">
        <v>32.1</v>
      </c>
      <c r="I75" s="64">
        <f>G75-H75</f>
        <v>5.8999999999999986</v>
      </c>
      <c r="J75" s="64">
        <v>60.04</v>
      </c>
      <c r="K75" s="64">
        <v>0</v>
      </c>
      <c r="L75" s="64">
        <v>0</v>
      </c>
      <c r="M75" s="64">
        <f t="shared" si="9"/>
        <v>0</v>
      </c>
      <c r="N75" s="64">
        <v>65.08</v>
      </c>
      <c r="O75" s="64">
        <f>L75</f>
        <v>0</v>
      </c>
      <c r="P75" s="64" t="e">
        <f>O75*#REF!</f>
        <v>#REF!</v>
      </c>
      <c r="Q75" s="64" t="e">
        <f>M75*#REF!</f>
        <v>#REF!</v>
      </c>
      <c r="R75" s="64">
        <v>70.22</v>
      </c>
      <c r="S75" s="64"/>
      <c r="T75" s="18"/>
      <c r="U75" s="384"/>
      <c r="V75" s="414"/>
      <c r="W75" s="1"/>
    </row>
    <row r="76" spans="1:23" ht="16.5" thickBot="1">
      <c r="A76" s="416"/>
      <c r="B76" s="318" t="s">
        <v>66</v>
      </c>
      <c r="C76" s="318"/>
      <c r="D76" s="318"/>
      <c r="E76" s="323"/>
      <c r="F76" s="320" t="s">
        <v>18</v>
      </c>
      <c r="G76" s="324">
        <f>G46+G47+G48+G54+G57+G64+G65+G68</f>
        <v>2581.9</v>
      </c>
      <c r="H76" s="324">
        <f>H46+H47+H48+H54+H57+H64+H65+H68</f>
        <v>1942.3299999999997</v>
      </c>
      <c r="I76" s="430">
        <f>G76-H76</f>
        <v>639.57000000000039</v>
      </c>
      <c r="J76" s="324">
        <v>7904.77</v>
      </c>
      <c r="K76" s="326">
        <f>K46+K47+K48+K54+K57+K64+K65+K68</f>
        <v>2292.3295134328782</v>
      </c>
      <c r="L76" s="326">
        <f>L46+L47+L48+L54+L57+L64+L65+L68</f>
        <v>2403.1514314350866</v>
      </c>
      <c r="M76" s="326">
        <f>M46+M47+M48+M54+M57+M64+M65+M68</f>
        <v>2347.7404724339822</v>
      </c>
      <c r="N76" s="326">
        <f>N46+N47+N48+N54+N57+N64+N65+N68</f>
        <v>8568.77</v>
      </c>
      <c r="O76" s="326">
        <f>O46+O47+O48+O54+O57+O64+O65+O68</f>
        <v>2403.1514314350866</v>
      </c>
      <c r="P76" s="326" t="e">
        <f t="shared" ref="P76:U76" si="14">P46+P47+P48+P54+P57+P64+P65+P68</f>
        <v>#REF!</v>
      </c>
      <c r="Q76" s="326" t="e">
        <f t="shared" si="14"/>
        <v>#REF!</v>
      </c>
      <c r="R76" s="326">
        <f t="shared" si="14"/>
        <v>6885.0099999999993</v>
      </c>
      <c r="S76" s="326" t="e">
        <f t="shared" si="14"/>
        <v>#REF!</v>
      </c>
      <c r="T76" s="325" t="e">
        <f t="shared" si="14"/>
        <v>#REF!</v>
      </c>
      <c r="U76" s="391" t="e">
        <f t="shared" si="14"/>
        <v>#REF!</v>
      </c>
      <c r="V76" s="414"/>
      <c r="W76" s="1"/>
    </row>
    <row r="77" spans="1:23" ht="19.5" customHeight="1" thickBot="1">
      <c r="A77" s="835" t="s">
        <v>67</v>
      </c>
      <c r="B77" s="836"/>
      <c r="C77" s="836"/>
      <c r="D77" s="836"/>
      <c r="E77" s="836"/>
      <c r="F77" s="836"/>
      <c r="G77" s="836"/>
      <c r="H77" s="836"/>
      <c r="I77" s="836"/>
      <c r="J77" s="836"/>
      <c r="K77" s="836"/>
      <c r="L77" s="836"/>
      <c r="M77" s="836"/>
      <c r="N77" s="836"/>
      <c r="O77" s="836"/>
      <c r="P77" s="836"/>
      <c r="Q77" s="836"/>
      <c r="R77" s="836"/>
      <c r="S77" s="836"/>
      <c r="T77" s="836"/>
      <c r="U77" s="837"/>
      <c r="V77" s="414"/>
      <c r="W77" s="1"/>
    </row>
    <row r="78" spans="1:23" ht="15.75">
      <c r="A78" s="379">
        <v>11</v>
      </c>
      <c r="B78" s="38" t="s">
        <v>68</v>
      </c>
      <c r="C78" s="27"/>
      <c r="D78" s="27"/>
      <c r="E78" s="27"/>
      <c r="F78" s="96" t="s">
        <v>18</v>
      </c>
      <c r="G78" s="300"/>
      <c r="H78" s="300"/>
      <c r="I78" s="300"/>
      <c r="J78" s="300"/>
      <c r="K78" s="66"/>
      <c r="L78" s="66"/>
      <c r="M78" s="66"/>
      <c r="N78" s="66"/>
      <c r="O78" s="66"/>
      <c r="P78" s="66"/>
      <c r="Q78" s="66"/>
      <c r="R78" s="66"/>
      <c r="S78" s="66"/>
      <c r="T78" s="39"/>
      <c r="U78" s="385"/>
      <c r="V78" s="414"/>
      <c r="W78" s="1"/>
    </row>
    <row r="79" spans="1:23" ht="15.75">
      <c r="A79" s="378">
        <v>12</v>
      </c>
      <c r="B79" s="22" t="s">
        <v>69</v>
      </c>
      <c r="C79" s="29"/>
      <c r="D79" s="23"/>
      <c r="E79" s="51"/>
      <c r="F79" s="8" t="s">
        <v>18</v>
      </c>
      <c r="G79" s="299"/>
      <c r="H79" s="299"/>
      <c r="I79" s="299"/>
      <c r="J79" s="299"/>
      <c r="K79" s="69"/>
      <c r="L79" s="69"/>
      <c r="M79" s="69"/>
      <c r="N79" s="69"/>
      <c r="O79" s="69">
        <f>O80+O81+O82</f>
        <v>0</v>
      </c>
      <c r="P79" s="69">
        <f>P80+P81+P82</f>
        <v>0</v>
      </c>
      <c r="Q79" s="69">
        <f>Q80+Q81+Q82</f>
        <v>0</v>
      </c>
      <c r="R79" s="69"/>
      <c r="S79" s="69">
        <f>S80+S81+S82</f>
        <v>0</v>
      </c>
      <c r="T79" s="30">
        <f>T80+T81+T82</f>
        <v>0</v>
      </c>
      <c r="U79" s="369">
        <f>U80+U81+U82</f>
        <v>0</v>
      </c>
      <c r="V79" s="414"/>
      <c r="W79" s="1"/>
    </row>
    <row r="80" spans="1:23" ht="15.75">
      <c r="A80" s="376" t="s">
        <v>70</v>
      </c>
      <c r="B80" s="11" t="s">
        <v>71</v>
      </c>
      <c r="C80" s="11"/>
      <c r="D80" s="11"/>
      <c r="E80" s="21"/>
      <c r="F80" s="95" t="s">
        <v>18</v>
      </c>
      <c r="G80" s="57"/>
      <c r="H80" s="57"/>
      <c r="I80" s="57"/>
      <c r="J80" s="57"/>
      <c r="K80" s="64"/>
      <c r="L80" s="57"/>
      <c r="M80" s="57"/>
      <c r="N80" s="57"/>
      <c r="O80" s="57"/>
      <c r="P80" s="64"/>
      <c r="Q80" s="64"/>
      <c r="R80" s="64"/>
      <c r="S80" s="57"/>
      <c r="T80" s="95"/>
      <c r="U80" s="390"/>
      <c r="V80" s="414"/>
      <c r="W80" s="1"/>
    </row>
    <row r="81" spans="1:23" ht="15.75">
      <c r="A81" s="378" t="s">
        <v>72</v>
      </c>
      <c r="B81" s="11" t="s">
        <v>73</v>
      </c>
      <c r="C81" s="11"/>
      <c r="D81" s="11"/>
      <c r="E81" s="21"/>
      <c r="F81" s="95" t="s">
        <v>18</v>
      </c>
      <c r="G81" s="57"/>
      <c r="H81" s="57"/>
      <c r="I81" s="57"/>
      <c r="J81" s="57"/>
      <c r="K81" s="64"/>
      <c r="L81" s="64"/>
      <c r="M81" s="64"/>
      <c r="N81" s="64"/>
      <c r="O81" s="64"/>
      <c r="P81" s="64"/>
      <c r="Q81" s="64"/>
      <c r="R81" s="64"/>
      <c r="S81" s="64"/>
      <c r="T81" s="18"/>
      <c r="U81" s="384"/>
      <c r="V81" s="414"/>
      <c r="W81" s="1"/>
    </row>
    <row r="82" spans="1:23" ht="15.75">
      <c r="A82" s="379" t="s">
        <v>74</v>
      </c>
      <c r="B82" s="27" t="s">
        <v>75</v>
      </c>
      <c r="C82" s="27"/>
      <c r="D82" s="27"/>
      <c r="E82" s="28"/>
      <c r="F82" s="96" t="s">
        <v>18</v>
      </c>
      <c r="G82" s="79"/>
      <c r="H82" s="79"/>
      <c r="I82" s="79"/>
      <c r="J82" s="79"/>
      <c r="K82" s="66"/>
      <c r="L82" s="66"/>
      <c r="M82" s="66"/>
      <c r="N82" s="66"/>
      <c r="O82" s="66"/>
      <c r="P82" s="64"/>
      <c r="Q82" s="64"/>
      <c r="R82" s="64"/>
      <c r="S82" s="64"/>
      <c r="T82" s="18"/>
      <c r="U82" s="384"/>
      <c r="V82" s="414"/>
      <c r="W82" s="1"/>
    </row>
    <row r="83" spans="1:23" ht="15.75">
      <c r="A83" s="379">
        <v>13</v>
      </c>
      <c r="B83" s="50" t="s">
        <v>76</v>
      </c>
      <c r="C83" s="29"/>
      <c r="D83" s="29"/>
      <c r="E83" s="51"/>
      <c r="F83" s="8" t="s">
        <v>18</v>
      </c>
      <c r="G83" s="67"/>
      <c r="H83" s="67"/>
      <c r="I83" s="67"/>
      <c r="J83" s="67"/>
      <c r="K83" s="57"/>
      <c r="L83" s="57"/>
      <c r="M83" s="57"/>
      <c r="N83" s="57"/>
      <c r="O83" s="67"/>
      <c r="P83" s="67"/>
      <c r="Q83" s="67"/>
      <c r="R83" s="67"/>
      <c r="S83" s="67"/>
      <c r="T83" s="8"/>
      <c r="U83" s="351"/>
      <c r="V83" s="414"/>
      <c r="W83" s="1"/>
    </row>
    <row r="84" spans="1:23" ht="15.75">
      <c r="A84" s="379">
        <v>14</v>
      </c>
      <c r="B84" s="10" t="s">
        <v>77</v>
      </c>
      <c r="C84" s="11"/>
      <c r="D84" s="11"/>
      <c r="E84" s="21"/>
      <c r="F84" s="96" t="s">
        <v>18</v>
      </c>
      <c r="G84" s="79"/>
      <c r="H84" s="79"/>
      <c r="I84" s="79"/>
      <c r="J84" s="79"/>
      <c r="K84" s="65"/>
      <c r="L84" s="65"/>
      <c r="M84" s="65"/>
      <c r="N84" s="65"/>
      <c r="O84" s="65">
        <f>O85+O86+O87+O88+O89+O90+O91</f>
        <v>0</v>
      </c>
      <c r="P84" s="65">
        <f>P85+P86+P87+P88+P89+P90+P91</f>
        <v>0</v>
      </c>
      <c r="Q84" s="65">
        <f>Q85+Q86+Q87+Q88+Q89+Q90+Q91</f>
        <v>0</v>
      </c>
      <c r="R84" s="65"/>
      <c r="S84" s="65">
        <f>S85+S86+S87+S88+S89+S90+S91</f>
        <v>0</v>
      </c>
      <c r="T84" s="25">
        <f>T85+T86+T87+T88+T89+T90+T91</f>
        <v>0</v>
      </c>
      <c r="U84" s="392">
        <f>U85+U86+U87+U88+U89+U90+U91</f>
        <v>0</v>
      </c>
      <c r="V84" s="414"/>
      <c r="W84" s="1"/>
    </row>
    <row r="85" spans="1:23" ht="15.75">
      <c r="A85" s="372" t="s">
        <v>78</v>
      </c>
      <c r="B85" s="9" t="s">
        <v>79</v>
      </c>
      <c r="C85" s="4"/>
      <c r="D85" s="4"/>
      <c r="E85" s="4"/>
      <c r="F85" s="94" t="s">
        <v>18</v>
      </c>
      <c r="G85" s="301"/>
      <c r="H85" s="301"/>
      <c r="I85" s="301"/>
      <c r="J85" s="301"/>
      <c r="K85" s="332"/>
      <c r="L85" s="74"/>
      <c r="M85" s="74"/>
      <c r="N85" s="74"/>
      <c r="O85" s="74"/>
      <c r="P85" s="74"/>
      <c r="Q85" s="74"/>
      <c r="R85" s="74"/>
      <c r="S85" s="74"/>
      <c r="T85" s="36"/>
      <c r="U85" s="383"/>
      <c r="V85" s="414"/>
      <c r="W85" s="1"/>
    </row>
    <row r="86" spans="1:23" ht="15.75">
      <c r="A86" s="354"/>
      <c r="B86" s="15" t="s">
        <v>80</v>
      </c>
      <c r="C86" s="11"/>
      <c r="D86" s="11"/>
      <c r="E86" s="11"/>
      <c r="F86" s="95" t="s">
        <v>18</v>
      </c>
      <c r="G86" s="75"/>
      <c r="H86" s="75"/>
      <c r="I86" s="75"/>
      <c r="J86" s="75"/>
      <c r="K86" s="75"/>
      <c r="L86" s="57"/>
      <c r="M86" s="57"/>
      <c r="N86" s="57"/>
      <c r="O86" s="57"/>
      <c r="P86" s="57"/>
      <c r="Q86" s="57"/>
      <c r="R86" s="57"/>
      <c r="S86" s="57"/>
      <c r="T86" s="95"/>
      <c r="U86" s="390"/>
      <c r="V86" s="414"/>
      <c r="W86" s="1"/>
    </row>
    <row r="87" spans="1:23" ht="15.75">
      <c r="A87" s="372" t="s">
        <v>81</v>
      </c>
      <c r="B87" s="15" t="s">
        <v>82</v>
      </c>
      <c r="C87" s="14"/>
      <c r="D87" s="11"/>
      <c r="E87" s="11"/>
      <c r="F87" s="95" t="s">
        <v>18</v>
      </c>
      <c r="G87" s="75"/>
      <c r="H87" s="75"/>
      <c r="I87" s="75"/>
      <c r="J87" s="75"/>
      <c r="K87" s="76"/>
      <c r="L87" s="64"/>
      <c r="M87" s="64"/>
      <c r="N87" s="64"/>
      <c r="O87" s="64"/>
      <c r="P87" s="64"/>
      <c r="Q87" s="64"/>
      <c r="R87" s="64"/>
      <c r="S87" s="64"/>
      <c r="T87" s="18"/>
      <c r="U87" s="384"/>
      <c r="V87" s="414"/>
      <c r="W87" s="1"/>
    </row>
    <row r="88" spans="1:23" ht="15.75">
      <c r="A88" s="372" t="s">
        <v>83</v>
      </c>
      <c r="B88" s="15" t="s">
        <v>84</v>
      </c>
      <c r="C88" s="11"/>
      <c r="D88" s="14"/>
      <c r="E88" s="12"/>
      <c r="F88" s="95" t="s">
        <v>18</v>
      </c>
      <c r="G88" s="75"/>
      <c r="H88" s="75"/>
      <c r="I88" s="75"/>
      <c r="J88" s="75"/>
      <c r="K88" s="333"/>
      <c r="L88" s="84"/>
      <c r="M88" s="84"/>
      <c r="N88" s="84"/>
      <c r="O88" s="340"/>
      <c r="P88" s="84"/>
      <c r="Q88" s="84"/>
      <c r="R88" s="84"/>
      <c r="S88" s="84"/>
      <c r="T88" s="19"/>
      <c r="U88" s="393"/>
      <c r="V88" s="414"/>
      <c r="W88" s="1"/>
    </row>
    <row r="89" spans="1:23" ht="15.75">
      <c r="A89" s="372" t="s">
        <v>85</v>
      </c>
      <c r="B89" s="15" t="s">
        <v>86</v>
      </c>
      <c r="C89" s="11"/>
      <c r="D89" s="14"/>
      <c r="E89" s="12"/>
      <c r="F89" s="95" t="s">
        <v>18</v>
      </c>
      <c r="G89" s="75"/>
      <c r="H89" s="75"/>
      <c r="I89" s="75"/>
      <c r="J89" s="75"/>
      <c r="K89" s="75"/>
      <c r="L89" s="64"/>
      <c r="M89" s="64"/>
      <c r="N89" s="64"/>
      <c r="O89" s="64"/>
      <c r="P89" s="64"/>
      <c r="Q89" s="64"/>
      <c r="R89" s="64"/>
      <c r="S89" s="64"/>
      <c r="T89" s="18"/>
      <c r="U89" s="384"/>
      <c r="V89" s="414"/>
      <c r="W89" s="1"/>
    </row>
    <row r="90" spans="1:23" ht="15.75">
      <c r="A90" s="372" t="s">
        <v>87</v>
      </c>
      <c r="B90" s="15" t="s">
        <v>88</v>
      </c>
      <c r="C90" s="14"/>
      <c r="D90" s="11"/>
      <c r="E90" s="14"/>
      <c r="F90" s="95" t="s">
        <v>18</v>
      </c>
      <c r="G90" s="75"/>
      <c r="H90" s="75"/>
      <c r="I90" s="75"/>
      <c r="J90" s="75"/>
      <c r="K90" s="334"/>
      <c r="L90" s="86"/>
      <c r="M90" s="86"/>
      <c r="N90" s="86"/>
      <c r="O90" s="57"/>
      <c r="P90" s="86"/>
      <c r="Q90" s="86"/>
      <c r="R90" s="86"/>
      <c r="S90" s="86"/>
      <c r="T90" s="6"/>
      <c r="U90" s="394"/>
      <c r="V90" s="414"/>
      <c r="W90" s="1"/>
    </row>
    <row r="91" spans="1:23" ht="15.75">
      <c r="A91" s="372" t="s">
        <v>89</v>
      </c>
      <c r="B91" s="15" t="s">
        <v>90</v>
      </c>
      <c r="C91" s="11"/>
      <c r="D91" s="14"/>
      <c r="E91" s="11"/>
      <c r="F91" s="95" t="s">
        <v>18</v>
      </c>
      <c r="G91" s="75"/>
      <c r="H91" s="75"/>
      <c r="I91" s="75"/>
      <c r="J91" s="75"/>
      <c r="K91" s="334"/>
      <c r="L91" s="80"/>
      <c r="M91" s="80"/>
      <c r="N91" s="80"/>
      <c r="O91" s="79"/>
      <c r="P91" s="80"/>
      <c r="Q91" s="80"/>
      <c r="R91" s="80"/>
      <c r="S91" s="80"/>
      <c r="T91" s="7"/>
      <c r="U91" s="395"/>
      <c r="V91" s="414"/>
      <c r="W91" s="1"/>
    </row>
    <row r="92" spans="1:23" ht="15.75">
      <c r="A92" s="350">
        <v>15</v>
      </c>
      <c r="B92" s="22" t="s">
        <v>91</v>
      </c>
      <c r="C92" s="29"/>
      <c r="D92" s="29"/>
      <c r="E92" s="29"/>
      <c r="F92" s="8" t="s">
        <v>18</v>
      </c>
      <c r="G92" s="67">
        <v>645.07000000000005</v>
      </c>
      <c r="H92" s="67">
        <v>481.1</v>
      </c>
      <c r="I92" s="67">
        <f>G92-H92</f>
        <v>163.97000000000003</v>
      </c>
      <c r="J92" s="65">
        <v>996</v>
      </c>
      <c r="K92" s="65">
        <f t="shared" ref="K92:M93" si="15">0.3004*K48</f>
        <v>569.36313999999993</v>
      </c>
      <c r="L92" s="65">
        <f t="shared" si="15"/>
        <v>609.21855979999998</v>
      </c>
      <c r="M92" s="65">
        <f t="shared" si="15"/>
        <v>589.29084990000001</v>
      </c>
      <c r="N92" s="65">
        <v>1079.6600000000001</v>
      </c>
      <c r="O92" s="65">
        <f t="shared" ref="O92:U93" si="16">0.3004*O48</f>
        <v>609.21855979999998</v>
      </c>
      <c r="P92" s="65" t="e">
        <f t="shared" si="16"/>
        <v>#REF!</v>
      </c>
      <c r="Q92" s="65" t="e">
        <f t="shared" si="16"/>
        <v>#REF!</v>
      </c>
      <c r="R92" s="65">
        <f t="shared" si="16"/>
        <v>1151.1928800000001</v>
      </c>
      <c r="S92" s="65" t="e">
        <f t="shared" si="16"/>
        <v>#REF!</v>
      </c>
      <c r="T92" s="25" t="e">
        <f t="shared" si="16"/>
        <v>#REF!</v>
      </c>
      <c r="U92" s="392" t="e">
        <f t="shared" si="16"/>
        <v>#REF!</v>
      </c>
      <c r="V92" s="414"/>
      <c r="W92" s="1"/>
    </row>
    <row r="93" spans="1:23" ht="15.75">
      <c r="A93" s="376" t="s">
        <v>92</v>
      </c>
      <c r="B93" s="50" t="s">
        <v>93</v>
      </c>
      <c r="C93" s="29"/>
      <c r="D93" s="29"/>
      <c r="E93" s="29"/>
      <c r="F93" s="8" t="s">
        <v>6</v>
      </c>
      <c r="G93" s="78">
        <v>489.24</v>
      </c>
      <c r="H93" s="78">
        <v>251.9</v>
      </c>
      <c r="I93" s="78">
        <f>G93-H93</f>
        <v>237.34</v>
      </c>
      <c r="J93" s="77">
        <v>661.7</v>
      </c>
      <c r="K93" s="77">
        <f t="shared" si="15"/>
        <v>569.36313999999993</v>
      </c>
      <c r="L93" s="77">
        <f t="shared" si="15"/>
        <v>609.21855979999998</v>
      </c>
      <c r="M93" s="77">
        <f t="shared" si="15"/>
        <v>589.29084990000001</v>
      </c>
      <c r="N93" s="77">
        <v>717.28</v>
      </c>
      <c r="O93" s="65">
        <f t="shared" si="16"/>
        <v>609.21855979999998</v>
      </c>
      <c r="P93" s="65" t="e">
        <f t="shared" si="16"/>
        <v>#REF!</v>
      </c>
      <c r="Q93" s="65" t="e">
        <f t="shared" si="16"/>
        <v>#REF!</v>
      </c>
      <c r="R93" s="65">
        <f t="shared" si="16"/>
        <v>764.76733200000001</v>
      </c>
      <c r="S93" s="65" t="e">
        <f t="shared" si="16"/>
        <v>#REF!</v>
      </c>
      <c r="T93" s="25" t="e">
        <f t="shared" si="16"/>
        <v>#REF!</v>
      </c>
      <c r="U93" s="392" t="e">
        <f t="shared" si="16"/>
        <v>#REF!</v>
      </c>
      <c r="V93" s="414"/>
      <c r="W93" s="1"/>
    </row>
    <row r="94" spans="1:23" ht="15.75">
      <c r="A94" s="350">
        <v>17</v>
      </c>
      <c r="B94" s="22" t="s">
        <v>95</v>
      </c>
      <c r="C94" s="29"/>
      <c r="D94" s="29"/>
      <c r="E94" s="51"/>
      <c r="F94" s="96" t="s">
        <v>18</v>
      </c>
      <c r="G94" s="66"/>
      <c r="H94" s="66"/>
      <c r="I94" s="66"/>
      <c r="J94" s="66"/>
      <c r="K94" s="67"/>
      <c r="L94" s="67"/>
      <c r="M94" s="67"/>
      <c r="N94" s="67"/>
      <c r="O94" s="67"/>
      <c r="P94" s="87"/>
      <c r="Q94" s="87"/>
      <c r="R94" s="87"/>
      <c r="S94" s="87"/>
      <c r="T94" s="49"/>
      <c r="U94" s="396"/>
      <c r="V94" s="414"/>
      <c r="W94" s="1"/>
    </row>
    <row r="95" spans="1:23" ht="15.75">
      <c r="A95" s="350">
        <v>18</v>
      </c>
      <c r="B95" s="10" t="s">
        <v>96</v>
      </c>
      <c r="C95" s="11"/>
      <c r="D95" s="11"/>
      <c r="E95" s="21"/>
      <c r="F95" s="96" t="s">
        <v>18</v>
      </c>
      <c r="G95" s="79"/>
      <c r="H95" s="79"/>
      <c r="I95" s="79"/>
      <c r="J95" s="79"/>
      <c r="K95" s="79"/>
      <c r="L95" s="79"/>
      <c r="M95" s="79"/>
      <c r="N95" s="79"/>
      <c r="O95" s="79"/>
      <c r="P95" s="80"/>
      <c r="Q95" s="80"/>
      <c r="R95" s="80"/>
      <c r="S95" s="80"/>
      <c r="T95" s="7"/>
      <c r="U95" s="395"/>
      <c r="V95" s="414"/>
      <c r="W95" s="1"/>
    </row>
    <row r="96" spans="1:23" ht="15.75">
      <c r="A96" s="350">
        <v>20</v>
      </c>
      <c r="B96" s="23" t="s">
        <v>98</v>
      </c>
      <c r="C96" s="29"/>
      <c r="D96" s="29"/>
      <c r="E96" s="29"/>
      <c r="F96" s="96" t="s">
        <v>18</v>
      </c>
      <c r="G96" s="79"/>
      <c r="H96" s="79"/>
      <c r="I96" s="79"/>
      <c r="J96" s="79"/>
      <c r="K96" s="67"/>
      <c r="L96" s="67"/>
      <c r="M96" s="67"/>
      <c r="N96" s="67"/>
      <c r="O96" s="67"/>
      <c r="P96" s="87"/>
      <c r="Q96" s="87"/>
      <c r="R96" s="87"/>
      <c r="S96" s="87"/>
      <c r="T96" s="49"/>
      <c r="U96" s="396"/>
      <c r="V96" s="414"/>
      <c r="W96" s="1"/>
    </row>
    <row r="97" spans="1:23" ht="15.75">
      <c r="A97" s="350">
        <v>22</v>
      </c>
      <c r="B97" s="22" t="s">
        <v>100</v>
      </c>
      <c r="C97" s="23"/>
      <c r="D97" s="29"/>
      <c r="E97" s="24"/>
      <c r="F97" s="96" t="s">
        <v>18</v>
      </c>
      <c r="G97" s="79">
        <v>32</v>
      </c>
      <c r="H97" s="79">
        <v>1.94</v>
      </c>
      <c r="I97" s="79">
        <f>G97-H97</f>
        <v>30.06</v>
      </c>
      <c r="J97" s="79">
        <v>50.98</v>
      </c>
      <c r="K97" s="66">
        <f>50.98/25</f>
        <v>2.0391999999999997</v>
      </c>
      <c r="L97" s="66">
        <f>K97*1.05</f>
        <v>2.1411599999999997</v>
      </c>
      <c r="M97" s="66">
        <f>(K97+L97)/2</f>
        <v>2.0901799999999997</v>
      </c>
      <c r="N97" s="66">
        <v>55.27</v>
      </c>
      <c r="O97" s="66">
        <f>L97</f>
        <v>2.1411599999999997</v>
      </c>
      <c r="P97" s="66">
        <f>(Q97-O97/2)*2</f>
        <v>2.248218</v>
      </c>
      <c r="Q97" s="66">
        <f>M97*1.05</f>
        <v>2.1946889999999999</v>
      </c>
      <c r="R97" s="66">
        <v>59.63</v>
      </c>
      <c r="S97" s="66">
        <f>P97</f>
        <v>2.248218</v>
      </c>
      <c r="T97" s="39">
        <f>S97*$T$121</f>
        <v>2.3600443633199997</v>
      </c>
      <c r="U97" s="385">
        <f>Q97*1.05</f>
        <v>2.3044234499999998</v>
      </c>
      <c r="V97" s="414"/>
      <c r="W97" s="1"/>
    </row>
    <row r="98" spans="1:23" ht="15.75">
      <c r="A98" s="379">
        <v>24</v>
      </c>
      <c r="B98" s="44" t="s">
        <v>102</v>
      </c>
      <c r="C98" s="27"/>
      <c r="D98" s="27"/>
      <c r="E98" s="28"/>
      <c r="F98" s="96" t="s">
        <v>18</v>
      </c>
      <c r="G98" s="79"/>
      <c r="H98" s="79"/>
      <c r="I98" s="79"/>
      <c r="J98" s="79"/>
      <c r="K98" s="66">
        <f>(K101-K103-K104)/0.8*0.2</f>
        <v>0</v>
      </c>
      <c r="L98" s="65">
        <f t="shared" ref="L98:U98" si="17">(L101-L103-L104)/0.8*0.2</f>
        <v>0</v>
      </c>
      <c r="M98" s="65">
        <f>(K98+L98)/2</f>
        <v>0</v>
      </c>
      <c r="N98" s="65"/>
      <c r="O98" s="65">
        <f t="shared" si="17"/>
        <v>0</v>
      </c>
      <c r="P98" s="65">
        <f t="shared" si="17"/>
        <v>0</v>
      </c>
      <c r="Q98" s="65">
        <f t="shared" si="17"/>
        <v>0</v>
      </c>
      <c r="R98" s="65">
        <f t="shared" si="17"/>
        <v>0</v>
      </c>
      <c r="S98" s="65">
        <f t="shared" si="17"/>
        <v>0</v>
      </c>
      <c r="T98" s="25">
        <f t="shared" si="17"/>
        <v>0</v>
      </c>
      <c r="U98" s="392">
        <f t="shared" si="17"/>
        <v>0</v>
      </c>
      <c r="V98" s="414"/>
      <c r="W98" s="1"/>
    </row>
    <row r="99" spans="1:23" ht="16.5" thickBot="1">
      <c r="A99" s="376">
        <v>25</v>
      </c>
      <c r="B99" s="41" t="s">
        <v>103</v>
      </c>
      <c r="C99" s="4"/>
      <c r="D99" s="4"/>
      <c r="E99" s="5"/>
      <c r="F99" s="95" t="s">
        <v>18</v>
      </c>
      <c r="G99" s="57"/>
      <c r="H99" s="57"/>
      <c r="I99" s="57"/>
      <c r="J99" s="57"/>
      <c r="K99" s="64">
        <v>0</v>
      </c>
      <c r="L99" s="64">
        <v>0</v>
      </c>
      <c r="M99" s="74">
        <f>(K99+L99)/2</f>
        <v>0</v>
      </c>
      <c r="N99" s="74"/>
      <c r="O99" s="316"/>
      <c r="P99" s="316"/>
      <c r="Q99" s="316"/>
      <c r="R99" s="316"/>
      <c r="S99" s="316"/>
      <c r="T99" s="3"/>
      <c r="U99" s="397"/>
      <c r="V99" s="414"/>
      <c r="W99" s="1"/>
    </row>
    <row r="100" spans="1:23" ht="16.5" thickBot="1">
      <c r="A100" s="417"/>
      <c r="B100" s="318" t="s">
        <v>104</v>
      </c>
      <c r="C100" s="318"/>
      <c r="D100" s="319"/>
      <c r="E100" s="318"/>
      <c r="F100" s="320" t="s">
        <v>18</v>
      </c>
      <c r="G100" s="321">
        <v>677.07</v>
      </c>
      <c r="H100" s="321">
        <f>H92+H97</f>
        <v>483.04</v>
      </c>
      <c r="I100" s="431">
        <f>G100-H100</f>
        <v>194.03000000000003</v>
      </c>
      <c r="J100" s="321">
        <v>1046.98</v>
      </c>
      <c r="K100" s="321">
        <f>K78+K79+K83+K84+K92+K94+K95+K96+K97+K98</f>
        <v>571.40233999999998</v>
      </c>
      <c r="L100" s="321">
        <f t="shared" ref="L100:U100" si="18">L78+L79+L83+L84+L92+L94+L95+L96+L97+L98</f>
        <v>611.35971979999999</v>
      </c>
      <c r="M100" s="321">
        <f>M78+M79+M83+M84+M92+M94+M95+M96+M97+M98</f>
        <v>591.38102990000004</v>
      </c>
      <c r="N100" s="321">
        <f>N78+N79+N83+N84+N92+N94+N95+N96+N97+N98</f>
        <v>1134.93</v>
      </c>
      <c r="O100" s="321">
        <f t="shared" si="18"/>
        <v>611.35971979999999</v>
      </c>
      <c r="P100" s="321" t="e">
        <f t="shared" si="18"/>
        <v>#REF!</v>
      </c>
      <c r="Q100" s="321" t="e">
        <f t="shared" si="18"/>
        <v>#REF!</v>
      </c>
      <c r="R100" s="321">
        <f t="shared" si="18"/>
        <v>1210.8228800000002</v>
      </c>
      <c r="S100" s="321" t="e">
        <f t="shared" si="18"/>
        <v>#REF!</v>
      </c>
      <c r="T100" s="322" t="e">
        <f t="shared" si="18"/>
        <v>#REF!</v>
      </c>
      <c r="U100" s="398" t="e">
        <f t="shared" si="18"/>
        <v>#REF!</v>
      </c>
      <c r="V100" s="414"/>
      <c r="W100" s="1"/>
    </row>
    <row r="101" spans="1:23" ht="15.75">
      <c r="A101" s="379"/>
      <c r="B101" s="685" t="s">
        <v>188</v>
      </c>
      <c r="C101" s="686"/>
      <c r="D101" s="686"/>
      <c r="E101" s="687"/>
      <c r="F101" s="96" t="s">
        <v>18</v>
      </c>
      <c r="G101" s="85"/>
      <c r="H101" s="85"/>
      <c r="I101" s="85"/>
      <c r="J101" s="85"/>
      <c r="K101" s="85">
        <f>K102+K103+K104+K105+K106</f>
        <v>0</v>
      </c>
      <c r="L101" s="85">
        <f t="shared" ref="L101:Q101" si="19">L102+L103+L104+L105+L106</f>
        <v>0</v>
      </c>
      <c r="M101" s="85">
        <f t="shared" si="19"/>
        <v>0</v>
      </c>
      <c r="N101" s="85">
        <v>0</v>
      </c>
      <c r="O101" s="85">
        <f t="shared" si="19"/>
        <v>0</v>
      </c>
      <c r="P101" s="85">
        <f t="shared" si="19"/>
        <v>0</v>
      </c>
      <c r="Q101" s="85">
        <f t="shared" si="19"/>
        <v>0</v>
      </c>
      <c r="R101" s="85">
        <v>0</v>
      </c>
      <c r="S101" s="85">
        <f>S102+S103+S104+S105+S106</f>
        <v>0</v>
      </c>
      <c r="T101" s="296">
        <f>T102+T103+T104+T105+T106</f>
        <v>0</v>
      </c>
      <c r="U101" s="399">
        <f>U102+U103+U104+U105+U106</f>
        <v>0</v>
      </c>
      <c r="V101" s="414"/>
      <c r="W101" s="1"/>
    </row>
    <row r="102" spans="1:23" ht="15.75">
      <c r="A102" s="350"/>
      <c r="B102" s="44" t="s">
        <v>189</v>
      </c>
      <c r="C102" s="38"/>
      <c r="D102" s="27"/>
      <c r="E102" s="38"/>
      <c r="F102" s="96" t="s">
        <v>18</v>
      </c>
      <c r="G102" s="302"/>
      <c r="H102" s="302"/>
      <c r="I102" s="302"/>
      <c r="J102" s="302"/>
      <c r="K102" s="69"/>
      <c r="L102" s="69"/>
      <c r="M102" s="69"/>
      <c r="N102" s="69"/>
      <c r="O102" s="69"/>
      <c r="P102" s="69"/>
      <c r="Q102" s="69"/>
      <c r="R102" s="69"/>
      <c r="S102" s="69"/>
      <c r="T102" s="30"/>
      <c r="U102" s="369"/>
      <c r="V102" s="414"/>
      <c r="W102" s="1"/>
    </row>
    <row r="103" spans="1:23" ht="15.75">
      <c r="A103" s="350"/>
      <c r="B103" s="44" t="s">
        <v>97</v>
      </c>
      <c r="C103" s="38"/>
      <c r="D103" s="27"/>
      <c r="E103" s="38"/>
      <c r="F103" s="96" t="s">
        <v>18</v>
      </c>
      <c r="G103" s="302"/>
      <c r="H103" s="302"/>
      <c r="I103" s="302"/>
      <c r="J103" s="302"/>
      <c r="K103" s="69"/>
      <c r="L103" s="69"/>
      <c r="M103" s="69"/>
      <c r="N103" s="69"/>
      <c r="O103" s="69"/>
      <c r="P103" s="69"/>
      <c r="Q103" s="69"/>
      <c r="R103" s="69"/>
      <c r="S103" s="69"/>
      <c r="T103" s="30"/>
      <c r="U103" s="369"/>
      <c r="V103" s="414"/>
      <c r="W103" s="1"/>
    </row>
    <row r="104" spans="1:23" ht="15.75">
      <c r="A104" s="350"/>
      <c r="B104" s="44" t="s">
        <v>94</v>
      </c>
      <c r="C104" s="38"/>
      <c r="D104" s="27"/>
      <c r="E104" s="38"/>
      <c r="F104" s="96" t="s">
        <v>18</v>
      </c>
      <c r="G104" s="302"/>
      <c r="H104" s="302"/>
      <c r="I104" s="302"/>
      <c r="J104" s="302"/>
      <c r="K104" s="69"/>
      <c r="L104" s="69"/>
      <c r="M104" s="69"/>
      <c r="N104" s="69"/>
      <c r="O104" s="69"/>
      <c r="P104" s="69"/>
      <c r="Q104" s="69"/>
      <c r="R104" s="69"/>
      <c r="S104" s="69"/>
      <c r="T104" s="30"/>
      <c r="U104" s="369"/>
      <c r="V104" s="414"/>
      <c r="W104" s="1"/>
    </row>
    <row r="105" spans="1:23" ht="15.75">
      <c r="A105" s="350"/>
      <c r="B105" s="44" t="s">
        <v>101</v>
      </c>
      <c r="C105" s="38"/>
      <c r="D105" s="27"/>
      <c r="E105" s="38"/>
      <c r="F105" s="96" t="s">
        <v>18</v>
      </c>
      <c r="G105" s="302"/>
      <c r="H105" s="302"/>
      <c r="I105" s="302"/>
      <c r="J105" s="302"/>
      <c r="K105" s="69"/>
      <c r="L105" s="69"/>
      <c r="M105" s="69"/>
      <c r="N105" s="69"/>
      <c r="O105" s="69"/>
      <c r="P105" s="69"/>
      <c r="Q105" s="69"/>
      <c r="R105" s="69"/>
      <c r="S105" s="69"/>
      <c r="T105" s="30"/>
      <c r="U105" s="369"/>
      <c r="V105" s="414"/>
      <c r="W105" s="1"/>
    </row>
    <row r="106" spans="1:23" ht="16.5" thickBot="1">
      <c r="A106" s="376"/>
      <c r="B106" s="10" t="s">
        <v>99</v>
      </c>
      <c r="C106" s="14"/>
      <c r="D106" s="11"/>
      <c r="E106" s="14"/>
      <c r="F106" s="95" t="s">
        <v>18</v>
      </c>
      <c r="G106" s="71"/>
      <c r="H106" s="71"/>
      <c r="I106" s="71"/>
      <c r="J106" s="302"/>
      <c r="K106" s="69"/>
      <c r="L106" s="69"/>
      <c r="M106" s="69"/>
      <c r="N106" s="69"/>
      <c r="O106" s="69"/>
      <c r="P106" s="69"/>
      <c r="Q106" s="69"/>
      <c r="R106" s="69"/>
      <c r="S106" s="69"/>
      <c r="T106" s="30"/>
      <c r="U106" s="369"/>
      <c r="V106" s="414"/>
      <c r="W106" s="1"/>
    </row>
    <row r="107" spans="1:23" ht="16.5">
      <c r="A107" s="419">
        <v>26</v>
      </c>
      <c r="B107" s="420" t="s">
        <v>105</v>
      </c>
      <c r="C107" s="421"/>
      <c r="D107" s="421"/>
      <c r="E107" s="422"/>
      <c r="F107" s="423" t="s">
        <v>18</v>
      </c>
      <c r="G107" s="427">
        <v>4930.6400000000003</v>
      </c>
      <c r="H107" s="427">
        <v>3797.64</v>
      </c>
      <c r="I107" s="432">
        <f>G107-H107</f>
        <v>1133.0000000000005</v>
      </c>
      <c r="J107" s="336">
        <v>8951.75</v>
      </c>
      <c r="K107" s="81">
        <f>K32+K41+K42+K76+K100+K101</f>
        <v>4423.4744308999962</v>
      </c>
      <c r="L107" s="81">
        <f>L32+L41+L42+L76+L100</f>
        <v>4697.953755055999</v>
      </c>
      <c r="M107" s="81">
        <f>M32+M41+M42+M76+M100</f>
        <v>4560.7140929779971</v>
      </c>
      <c r="N107" s="338">
        <v>9703.7000000000007</v>
      </c>
      <c r="O107" s="81">
        <f>O32+O41+O42+O76+O100</f>
        <v>4697.953755055999</v>
      </c>
      <c r="P107" s="81" t="e">
        <f>P32+P41+P42+P76+P100</f>
        <v>#REF!</v>
      </c>
      <c r="Q107" s="81" t="e">
        <f>Q32+Q41+Q42+Q76+Q100</f>
        <v>#REF!</v>
      </c>
      <c r="R107" s="338">
        <v>10470.290000000001</v>
      </c>
      <c r="S107" s="344" t="e">
        <f>S32+S41+S42+S76+S100</f>
        <v>#REF!</v>
      </c>
      <c r="T107" s="345" t="e">
        <f>T32+T41+T42+T76+T100</f>
        <v>#REF!</v>
      </c>
      <c r="U107" s="400" t="e">
        <f>U32+U41+U42+U76+U100</f>
        <v>#REF!</v>
      </c>
      <c r="V107" s="414"/>
      <c r="W107" s="1"/>
    </row>
    <row r="108" spans="1:23" ht="17.25" thickBot="1">
      <c r="A108" s="402"/>
      <c r="B108" s="424" t="s">
        <v>106</v>
      </c>
      <c r="C108" s="405"/>
      <c r="D108" s="404"/>
      <c r="E108" s="425"/>
      <c r="F108" s="426" t="s">
        <v>18</v>
      </c>
      <c r="G108" s="428">
        <f>G109*G23/1000</f>
        <v>1361.13</v>
      </c>
      <c r="H108" s="428">
        <f>H109*H22/1000</f>
        <v>1048.401975</v>
      </c>
      <c r="I108" s="433">
        <f>G108-H108</f>
        <v>312.72802500000012</v>
      </c>
      <c r="J108" s="418">
        <v>8951.75</v>
      </c>
      <c r="K108" s="304">
        <f>((K32+K41+K42+K76+K100-K98)*K22/K21+K98+K101)</f>
        <v>1443.782318197121</v>
      </c>
      <c r="L108" s="304">
        <f>((L32+L41+L42+L76+L100-L98)*L22/L21+L98+L101)</f>
        <v>1533.3699039552475</v>
      </c>
      <c r="M108" s="304">
        <f>((M32+M41+M42+M76+M100-M98)*M22/M21+M98+M101)</f>
        <v>1488.5761110761841</v>
      </c>
      <c r="N108" s="304">
        <f>N107</f>
        <v>9703.7000000000007</v>
      </c>
      <c r="O108" s="304">
        <f>((O32+O41+O42+O76+O100-O98)*O22/O21+O98+O101)</f>
        <v>1533.3699039552475</v>
      </c>
      <c r="P108" s="304" t="e">
        <f>((P32+P41+P42+P76+P100-P98)*P22/P21+P98+P101)</f>
        <v>#REF!</v>
      </c>
      <c r="Q108" s="304" t="e">
        <f>((Q32+Q41+Q42+Q76+Q100-Q98)*Q22/Q21+Q98+Q101)</f>
        <v>#REF!</v>
      </c>
      <c r="R108" s="304">
        <f>R107</f>
        <v>10470.290000000001</v>
      </c>
      <c r="S108" s="304" t="e">
        <f>((S32+S41+S42+S76+S100-S98)*S22/S21+S98+S101)</f>
        <v>#REF!</v>
      </c>
      <c r="T108" s="303" t="e">
        <f>((T32+T41+T42+T76+T100-T98)*T22/T21+T98+T101)</f>
        <v>#REF!</v>
      </c>
      <c r="U108" s="401" t="e">
        <f>((U32+U41+U42+U76+U100-U98)*U22/U21+U98+U101)</f>
        <v>#REF!</v>
      </c>
      <c r="V108" s="414"/>
      <c r="W108" s="1"/>
    </row>
    <row r="109" spans="1:23" ht="15.75">
      <c r="A109" s="379"/>
      <c r="B109" s="38" t="s">
        <v>107</v>
      </c>
      <c r="C109" s="38"/>
      <c r="D109" s="27"/>
      <c r="E109" s="28"/>
      <c r="F109" s="96" t="s">
        <v>18</v>
      </c>
      <c r="G109" s="429">
        <v>3076</v>
      </c>
      <c r="H109" s="300">
        <v>2369.27</v>
      </c>
      <c r="I109" s="300">
        <f>G109-H109</f>
        <v>706.73</v>
      </c>
      <c r="J109" s="339">
        <v>5175.95</v>
      </c>
      <c r="K109" s="90">
        <f>K108/K22*1000</f>
        <v>2557.6756332213517</v>
      </c>
      <c r="L109" s="90">
        <f>L108/L22*1000</f>
        <v>2716.3809880693148</v>
      </c>
      <c r="M109" s="90">
        <f>M108/M22*1000</f>
        <v>2637.028310645333</v>
      </c>
      <c r="N109" s="90">
        <v>5610.73</v>
      </c>
      <c r="O109" s="90">
        <f>O108/O22*1000</f>
        <v>2716.3809880693148</v>
      </c>
      <c r="P109" s="90" t="e">
        <f>P108/P22*1000</f>
        <v>#REF!</v>
      </c>
      <c r="Q109" s="90" t="e">
        <f>Q108/Q22*1000</f>
        <v>#REF!</v>
      </c>
      <c r="R109" s="90">
        <v>6053.98</v>
      </c>
      <c r="S109" s="65" t="e">
        <f>S108/S22*1000</f>
        <v>#REF!</v>
      </c>
      <c r="T109" s="25" t="e">
        <f>T108/T22*1000</f>
        <v>#REF!</v>
      </c>
      <c r="U109" s="392" t="e">
        <f>U108/U22*1000</f>
        <v>#REF!</v>
      </c>
      <c r="V109" s="414"/>
      <c r="W109" s="1"/>
    </row>
    <row r="110" spans="1:23" ht="16.5" thickBot="1">
      <c r="A110" s="402"/>
      <c r="B110" s="403" t="s">
        <v>108</v>
      </c>
      <c r="C110" s="404"/>
      <c r="D110" s="405"/>
      <c r="E110" s="406"/>
      <c r="F110" s="407" t="s">
        <v>18</v>
      </c>
      <c r="G110" s="408"/>
      <c r="H110" s="408"/>
      <c r="I110" s="408"/>
      <c r="J110" s="408"/>
      <c r="K110" s="409">
        <f>K109/H109*100-100</f>
        <v>7.9520541441605133</v>
      </c>
      <c r="L110" s="410">
        <f>L109/K109*100-100</f>
        <v>6.2050618454724003</v>
      </c>
      <c r="M110" s="410"/>
      <c r="N110" s="410"/>
      <c r="O110" s="410">
        <f>O109/L109*100-100</f>
        <v>0</v>
      </c>
      <c r="P110" s="410" t="e">
        <f>P109/O109*100-100</f>
        <v>#REF!</v>
      </c>
      <c r="Q110" s="410"/>
      <c r="R110" s="410"/>
      <c r="S110" s="411" t="e">
        <f>S109/P109*100-100</f>
        <v>#REF!</v>
      </c>
      <c r="T110" s="412" t="e">
        <f>T109/S109*100-100</f>
        <v>#REF!</v>
      </c>
      <c r="U110" s="413"/>
      <c r="V110" s="414"/>
      <c r="W110" s="1"/>
    </row>
    <row r="111" spans="1:23" ht="6.75" customHeight="1">
      <c r="A111" s="1"/>
      <c r="B111" s="1"/>
      <c r="C111" s="1"/>
      <c r="D111" s="1"/>
      <c r="E111" s="1"/>
      <c r="F111" s="1"/>
      <c r="L111" s="1">
        <f>K109*1.062</f>
        <v>2716.2515224810759</v>
      </c>
      <c r="O111" s="346"/>
      <c r="V111" s="1"/>
      <c r="W111" s="1"/>
    </row>
    <row r="112" spans="1:23" ht="8.25" customHeight="1">
      <c r="A112" s="838" t="s">
        <v>243</v>
      </c>
      <c r="B112" s="838"/>
      <c r="C112" s="838"/>
      <c r="D112" s="838"/>
      <c r="E112" s="838"/>
      <c r="F112" s="838"/>
      <c r="G112" s="838"/>
      <c r="H112" s="838"/>
      <c r="I112" s="838"/>
      <c r="J112" s="2"/>
      <c r="K112" s="88"/>
      <c r="L112" s="2"/>
      <c r="M112" s="2"/>
      <c r="N112" s="2"/>
      <c r="O112" s="88"/>
      <c r="Q112" s="91"/>
      <c r="R112" s="91"/>
      <c r="S112" s="91"/>
      <c r="T112" s="91"/>
      <c r="V112" s="1"/>
      <c r="W112" s="1"/>
    </row>
    <row r="113" spans="1:23" ht="44.25" customHeight="1">
      <c r="A113" s="838"/>
      <c r="B113" s="838"/>
      <c r="C113" s="838"/>
      <c r="D113" s="838"/>
      <c r="E113" s="838"/>
      <c r="F113" s="838"/>
      <c r="G113" s="838"/>
      <c r="H113" s="838"/>
      <c r="I113" s="838"/>
      <c r="J113" s="2"/>
      <c r="K113" s="2"/>
      <c r="L113" s="2"/>
      <c r="M113" s="2"/>
      <c r="N113" s="2"/>
      <c r="O113" s="2"/>
      <c r="V113" s="1"/>
      <c r="W113" s="1"/>
    </row>
    <row r="114" spans="1:23" ht="15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V114" s="1"/>
      <c r="W114" s="1"/>
    </row>
    <row r="115" spans="1:23" ht="15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V115" s="1"/>
      <c r="W115" s="1"/>
    </row>
    <row r="116" spans="1:23" ht="15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V116" s="1"/>
      <c r="W116" s="1"/>
    </row>
    <row r="117" spans="1:23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</row>
    <row r="118" spans="1:23">
      <c r="A118" s="1"/>
      <c r="B118" s="1"/>
      <c r="C118" s="1"/>
      <c r="D118" s="53"/>
      <c r="E118" s="1"/>
      <c r="F118" s="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1"/>
      <c r="W118" s="1"/>
    </row>
    <row r="119" spans="1:23">
      <c r="A119" s="1"/>
      <c r="B119" s="1"/>
      <c r="C119" s="1"/>
      <c r="D119" s="1"/>
      <c r="E119" s="1"/>
      <c r="F119" s="1"/>
      <c r="J119" s="341" t="s">
        <v>237</v>
      </c>
      <c r="K119" s="342">
        <f>H109*K22/2/1000</f>
        <v>668.71461115</v>
      </c>
      <c r="L119" s="343">
        <f>M108-K119</f>
        <v>819.86149992618414</v>
      </c>
      <c r="M119" s="343">
        <f>L119+K119</f>
        <v>1488.5761110761841</v>
      </c>
      <c r="N119" s="341" t="s">
        <v>237</v>
      </c>
      <c r="O119" s="342">
        <f>L109*O22/2/1000</f>
        <v>766.68495197762377</v>
      </c>
      <c r="P119" s="343" t="e">
        <f>Q108-O119</f>
        <v>#REF!</v>
      </c>
      <c r="Q119" s="343" t="e">
        <f>P119+O119</f>
        <v>#REF!</v>
      </c>
      <c r="R119" s="341" t="s">
        <v>237</v>
      </c>
      <c r="S119" s="342" t="e">
        <f>P109*S22/2/1000</f>
        <v>#REF!</v>
      </c>
      <c r="T119" s="343" t="e">
        <f>U108-S119</f>
        <v>#REF!</v>
      </c>
      <c r="U119" s="343" t="e">
        <f>T119+S119</f>
        <v>#REF!</v>
      </c>
      <c r="V119" s="1"/>
      <c r="W119" s="1"/>
    </row>
    <row r="120" spans="1:23">
      <c r="J120" s="341"/>
      <c r="K120" s="342"/>
      <c r="L120" s="342">
        <f>L119/K119</f>
        <v>1.2260260001142405</v>
      </c>
      <c r="M120" s="342"/>
      <c r="N120" s="341"/>
      <c r="O120" s="342"/>
      <c r="P120" s="342" t="e">
        <f>P119/O119</f>
        <v>#REF!</v>
      </c>
      <c r="Q120" s="342"/>
      <c r="R120" s="341"/>
      <c r="S120" s="342"/>
      <c r="T120" s="342" t="e">
        <f>T119/S119</f>
        <v>#REF!</v>
      </c>
      <c r="U120" s="342"/>
    </row>
    <row r="121" spans="1:23">
      <c r="J121" s="341"/>
      <c r="K121" s="341"/>
      <c r="L121" s="341">
        <v>1.0618099999999999</v>
      </c>
      <c r="M121" s="341"/>
      <c r="N121" s="341"/>
      <c r="O121" s="341"/>
      <c r="P121" s="341">
        <v>1.0618099999999999</v>
      </c>
      <c r="Q121" s="341"/>
      <c r="R121" s="341"/>
      <c r="S121" s="341"/>
      <c r="T121" s="341">
        <v>1.0497399999999999</v>
      </c>
      <c r="U121" s="341"/>
    </row>
    <row r="125" spans="1:23">
      <c r="P125" s="1" t="e">
        <f>P108/2</f>
        <v>#REF!</v>
      </c>
    </row>
  </sheetData>
  <mergeCells count="33">
    <mergeCell ref="G1:I3"/>
    <mergeCell ref="A4:U4"/>
    <mergeCell ref="A6:U6"/>
    <mergeCell ref="A8:U8"/>
    <mergeCell ref="A12:A16"/>
    <mergeCell ref="B12:E16"/>
    <mergeCell ref="F12:F16"/>
    <mergeCell ref="G12:G16"/>
    <mergeCell ref="H12:H16"/>
    <mergeCell ref="I12:I16"/>
    <mergeCell ref="J12:J16"/>
    <mergeCell ref="A30:U31"/>
    <mergeCell ref="K12:M13"/>
    <mergeCell ref="N12:N16"/>
    <mergeCell ref="O12:Q13"/>
    <mergeCell ref="R12:R16"/>
    <mergeCell ref="S12:U13"/>
    <mergeCell ref="K14:K16"/>
    <mergeCell ref="L14:L16"/>
    <mergeCell ref="M14:M16"/>
    <mergeCell ref="O14:O16"/>
    <mergeCell ref="P14:P16"/>
    <mergeCell ref="Q14:Q16"/>
    <mergeCell ref="S14:S16"/>
    <mergeCell ref="T14:T16"/>
    <mergeCell ref="U14:U16"/>
    <mergeCell ref="B17:E17"/>
    <mergeCell ref="A45:U45"/>
    <mergeCell ref="B75:E75"/>
    <mergeCell ref="A77:U77"/>
    <mergeCell ref="B101:E101"/>
    <mergeCell ref="A117:W117"/>
    <mergeCell ref="A112:I113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смета наша</vt:lpstr>
      <vt:lpstr>физика 2016</vt:lpstr>
      <vt:lpstr>операционные</vt:lpstr>
      <vt:lpstr>Физика на 2015 </vt:lpstr>
      <vt:lpstr>факт 2014 года</vt:lpstr>
      <vt:lpstr>Лист1</vt:lpstr>
      <vt:lpstr>операционные!Область_печати</vt:lpstr>
      <vt:lpstr>'смета наша'!Область_печати</vt:lpstr>
      <vt:lpstr>'факт 2014 года'!Область_печати</vt:lpstr>
      <vt:lpstr>'физика 2016'!Область_печати</vt:lpstr>
      <vt:lpstr>'Физика на 2015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</dc:creator>
  <cp:lastModifiedBy>Лидия</cp:lastModifiedBy>
  <cp:lastPrinted>2016-02-19T09:04:56Z</cp:lastPrinted>
  <dcterms:created xsi:type="dcterms:W3CDTF">2015-08-31T04:14:57Z</dcterms:created>
  <dcterms:modified xsi:type="dcterms:W3CDTF">2016-04-13T02:04:12Z</dcterms:modified>
</cp:coreProperties>
</file>